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ACER Data website\MAYA\CAMSROY website\Excel Template\Working capital gap analysis\"/>
    </mc:Choice>
  </mc:AlternateContent>
  <xr:revisionPtr revIDLastSave="0" documentId="13_ncr:1_{88F76D7D-ADE0-41DA-B0FA-535E560A325E}" xr6:coauthVersionLast="47" xr6:coauthVersionMax="47" xr10:uidLastSave="{00000000-0000-0000-0000-000000000000}"/>
  <bookViews>
    <workbookView xWindow="-120" yWindow="-120" windowWidth="25440" windowHeight="15270" tabRatio="500" firstSheet="1" activeTab="3" xr2:uid="{00000000-000D-0000-FFFF-FFFF00000000}"/>
  </bookViews>
  <sheets>
    <sheet name="🏠 COVER" sheetId="1" r:id="rId1"/>
    <sheet name="📥 INPUTS" sheetId="2" r:id="rId2"/>
    <sheet name="📊 OPERATING CYCLE" sheetId="3" r:id="rId3"/>
    <sheet name="💰 WC GAP" sheetId="4" r:id="rId4"/>
    <sheet name="🔄 WHAT-IF" sheetId="5" r:id="rId5"/>
    <sheet name="🏦 FUNDING ANALYSIS" sheetId="6" r:id="rId6"/>
    <sheet name="📈 DASHBOARD" sheetId="7" r:id="rId7"/>
    <sheet name="📖 HOW TO USE" sheetId="8" r:id="rId8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5" i="7" l="1"/>
  <c r="B24" i="7"/>
  <c r="B23" i="7"/>
  <c r="B22" i="7"/>
  <c r="B21" i="7"/>
  <c r="B8" i="6"/>
  <c r="B5" i="6"/>
  <c r="B6" i="7" s="1"/>
  <c r="D16" i="5"/>
  <c r="D15" i="5"/>
  <c r="D14" i="5"/>
  <c r="D13" i="5"/>
  <c r="D17" i="5" s="1"/>
  <c r="B20" i="4"/>
  <c r="B13" i="4"/>
  <c r="B12" i="4"/>
  <c r="B14" i="4" s="1"/>
  <c r="B7" i="4"/>
  <c r="B6" i="4"/>
  <c r="B5" i="4"/>
  <c r="B8" i="4" s="1"/>
  <c r="C12" i="3"/>
  <c r="B12" i="3"/>
  <c r="C16" i="5" s="1"/>
  <c r="C11" i="3"/>
  <c r="B11" i="3"/>
  <c r="C8" i="3"/>
  <c r="B8" i="3"/>
  <c r="C7" i="3"/>
  <c r="C6" i="5" s="1"/>
  <c r="B7" i="3"/>
  <c r="C6" i="3"/>
  <c r="B6" i="3"/>
  <c r="B7" i="2"/>
  <c r="B9" i="2" s="1"/>
  <c r="B12" i="2" s="1"/>
  <c r="B16" i="6" l="1"/>
  <c r="B10" i="7" s="1"/>
  <c r="B9" i="7"/>
  <c r="C7" i="5"/>
  <c r="C13" i="3"/>
  <c r="B16" i="7"/>
  <c r="C15" i="5"/>
  <c r="D11" i="3"/>
  <c r="B7" i="5"/>
  <c r="B13" i="3"/>
  <c r="B15" i="7"/>
  <c r="C14" i="5"/>
  <c r="D7" i="3"/>
  <c r="B6" i="5"/>
  <c r="C9" i="3"/>
  <c r="C15" i="3" s="1"/>
  <c r="C8" i="5" s="1"/>
  <c r="C5" i="5"/>
  <c r="B14" i="7"/>
  <c r="B9" i="3"/>
  <c r="B15" i="3" s="1"/>
  <c r="C13" i="5"/>
  <c r="B5" i="5"/>
  <c r="D6" i="3"/>
  <c r="B16" i="4"/>
  <c r="D15" i="3" l="1"/>
  <c r="B8" i="5"/>
  <c r="B4" i="7"/>
  <c r="B17" i="7"/>
  <c r="B22" i="4"/>
  <c r="B21" i="4"/>
  <c r="B26" i="7"/>
  <c r="B5" i="7"/>
  <c r="C9" i="5"/>
  <c r="D18" i="5"/>
  <c r="E18" i="5" s="1"/>
  <c r="B23" i="4"/>
  <c r="B6" i="6" l="1"/>
  <c r="B7" i="6"/>
  <c r="B13" i="6" l="1"/>
  <c r="B7" i="7"/>
  <c r="B9" i="6"/>
  <c r="B14" i="6" l="1"/>
  <c r="B15" i="6"/>
  <c r="B8" i="7"/>
</calcChain>
</file>

<file path=xl/sharedStrings.xml><?xml version="1.0" encoding="utf-8"?>
<sst xmlns="http://schemas.openxmlformats.org/spreadsheetml/2006/main" count="291" uniqueCount="256">
  <si>
    <t>📊  camsroy.com</t>
  </si>
  <si>
    <t>Smart Finance Templates  |  Built for Indian SMEs, CAs &amp; Founders</t>
  </si>
  <si>
    <t>WORKING CAPITAL GAP CALCULATOR</t>
  </si>
  <si>
    <t>How Much Cash Is Locked in Your Operating Cycle — and How to Free It</t>
  </si>
  <si>
    <t>DSO · DIO · DPO → Cash Conversion Cycle → Funding Gap → Bank CC/OD Requirement</t>
  </si>
  <si>
    <t>Company / Business Name</t>
  </si>
  <si>
    <t>[Enter Company Name]</t>
  </si>
  <si>
    <t>Financial Year</t>
  </si>
  <si>
    <t>FY 2025-26</t>
  </si>
  <si>
    <t>Reporting Currency</t>
  </si>
  <si>
    <t>INR (₹ in actual values)</t>
  </si>
  <si>
    <t>Prepared By</t>
  </si>
  <si>
    <t>[Your Name]</t>
  </si>
  <si>
    <t>Report Date</t>
  </si>
  <si>
    <t>[As-on Date]</t>
  </si>
  <si>
    <t>📋  WORKBOOK NAVIGATION</t>
  </si>
  <si>
    <t>📥</t>
  </si>
  <si>
    <t xml:space="preserve">  INPUTS  —  P&amp;L and balance sheet figures — Revenue, COGS, Debtors, Inventory, Creditors</t>
  </si>
  <si>
    <t>📊</t>
  </si>
  <si>
    <t xml:space="preserve">  OPERATING CYCLE  —  DSO, DIO, DPO, Cash Conversion Cycle — with GST adjustment note</t>
  </si>
  <si>
    <t>💰</t>
  </si>
  <si>
    <t xml:space="preserve">  WC GAP  —  Working Capital Gap in ₹ — Gross requirement, supplier credit, net funding gap</t>
  </si>
  <si>
    <t>🔄</t>
  </si>
  <si>
    <t xml:space="preserve">  WHAT-IF  —  4 payment-term levers — see ₹ impact of each improvement instantly</t>
  </si>
  <si>
    <t>🏦</t>
  </si>
  <si>
    <t xml:space="preserve">  FUNDING ANALYSIS  —  Bank CC/OD limit, Drawing Power (Indian bank formula), cost of WC finance</t>
  </si>
  <si>
    <t>📈</t>
  </si>
  <si>
    <t xml:space="preserve">  DASHBOARD  —  Visual summary — cycle days, WC gap, funding need, cost of carry</t>
  </si>
  <si>
    <t>📖</t>
  </si>
  <si>
    <t xml:space="preserve">  HOW TO USE  —  Step-by-step guide, formula notes, India-specific context</t>
  </si>
  <si>
    <t>🎨  COLOUR LEGEND</t>
  </si>
  <si>
    <t>Blue cells = Input (enter your actual figures here)</t>
  </si>
  <si>
    <t>Green = Calculated output — updates automatically</t>
  </si>
  <si>
    <t>Gold = Key metric or decision output</t>
  </si>
  <si>
    <t>Red = Warning / gap exceeds threshold</t>
  </si>
  <si>
    <t>Yellow = What-if scenario / assumption</t>
  </si>
  <si>
    <t>💡  WHAT THIS TEMPLATE ANSWERS</t>
  </si>
  <si>
    <t>✓</t>
  </si>
  <si>
    <t>How many rupees are currently locked in your operating cycle?</t>
  </si>
  <si>
    <t>What is your actual Working Capital Gap — and how much is funded by suppliers vs banks?</t>
  </si>
  <si>
    <t>If you reduce debtor days by 10 or extend supplier credit by 15 days, how much cash is freed?</t>
  </si>
  <si>
    <t>What CC/OD limit should you request from your bank — and what Drawing Power will the bank calculate?</t>
  </si>
  <si>
    <t>What is the annual interest cost of your working capital borrowing, as a % of revenue?</t>
  </si>
  <si>
    <t>Companion to the Ratio Analysis template — takes DSO/DIO/DPO from days to actual rupees</t>
  </si>
  <si>
    <t>© camsroy.com  |  Free for personal &amp; commercial use  |  www.camsroy.com</t>
  </si>
  <si>
    <t>📥  camsroy.com  |  WORKING CAPITAL INPUTS  —  P&amp;L &amp; Balance Sheet Figures</t>
  </si>
  <si>
    <t>All blue cells = Input. Enter annual figures. Quarterly/monthly figures are automatically annualised.</t>
  </si>
  <si>
    <t>📈  A. PROFIT &amp; LOSS — ANNUAL (₹)</t>
  </si>
  <si>
    <t>Line Item</t>
  </si>
  <si>
    <t>Amount (₹)</t>
  </si>
  <si>
    <t>Notes</t>
  </si>
  <si>
    <t>Net Revenue / Net Sales (ex-GST)</t>
  </si>
  <si>
    <t>Revenue excluding GST — critical for accurate DSO calculation</t>
  </si>
  <si>
    <t>Cost of Goods Sold (COGS / Direct Cost)</t>
  </si>
  <si>
    <t>Direct material + labour + manufacturing overhead</t>
  </si>
  <si>
    <t>Gross Profit</t>
  </si>
  <si>
    <t>Auto-calculated</t>
  </si>
  <si>
    <t>Operating Expenses (Indirect / Overhead)</t>
  </si>
  <si>
    <t>Salaries, rent, admin — not included in COGS</t>
  </si>
  <si>
    <t>EBITDA</t>
  </si>
  <si>
    <t>Interest Expense (annual)</t>
  </si>
  <si>
    <t>All interest on CC, OD, term loans</t>
  </si>
  <si>
    <t>Depreciation (annual)</t>
  </si>
  <si>
    <t>Non-cash charge</t>
  </si>
  <si>
    <t>Profit Before Tax (PBT)</t>
  </si>
  <si>
    <t>🏛  B. BALANCE SHEET — CURRENT PERIOD (₹)</t>
  </si>
  <si>
    <t>Trade Receivables / Debtors (₹)</t>
  </si>
  <si>
    <t>Outstanding customer invoices — use closing balance; ex-GST if possible</t>
  </si>
  <si>
    <t>Inventory (Raw Material + WIP + FG)</t>
  </si>
  <si>
    <t>Total inventory at cost</t>
  </si>
  <si>
    <t>Advance to Suppliers</t>
  </si>
  <si>
    <t>Advances given — part of operating cycle</t>
  </si>
  <si>
    <t>Cash &amp; Bank Balance</t>
  </si>
  <si>
    <t>Current cash on hand</t>
  </si>
  <si>
    <t>Trade Payables / Creditors (₹)</t>
  </si>
  <si>
    <t>Outstanding supplier invoices — what you owe</t>
  </si>
  <si>
    <t>Advance from Customers</t>
  </si>
  <si>
    <t>Advance received — reduces your WC requirement</t>
  </si>
  <si>
    <t>Short-Term Borrowings (CC / OD)</t>
  </si>
  <si>
    <t>Current bank working capital facility utilised</t>
  </si>
  <si>
    <t>⚙  C. WORKING CAPITAL ASSUMPTIONS</t>
  </si>
  <si>
    <t>Parameter</t>
  </si>
  <si>
    <t>Value</t>
  </si>
  <si>
    <t>GST Rate on Sales (for Debtor adjustment)</t>
  </si>
  <si>
    <t>If debtors include GST, DSO will be overstated — this adjusts it</t>
  </si>
  <si>
    <t>Promoter / Own Funds in Working Capital (₹)</t>
  </si>
  <si>
    <t>Equity/own money deployed in WC — determines bank funding need</t>
  </si>
  <si>
    <t>Safety Buffer on WC Limit (%)</t>
  </si>
  <si>
    <t>Extra headroom over minimum WC gap to request from bank</t>
  </si>
  <si>
    <t>Interest Rate on CC / OD (%)</t>
  </si>
  <si>
    <t>Current rate on working capital facility (e.g. 10.5%)</t>
  </si>
  <si>
    <t>Average CC / OD Utilisation (%)</t>
  </si>
  <si>
    <t>Typically 70-80% of sanctioned limit</t>
  </si>
  <si>
    <t>Days in Year</t>
  </si>
  <si>
    <t>Use 360 if your bank uses 360-day convention</t>
  </si>
  <si>
    <t>ℹ  Enter all monetary figures in actual ₹ (not lakhs or crores). Revenue must be ex-GST for accurate DSO. If using balance sheet figures that include GST, set the GST Rate in Section C — the template will auto-adjust.  |  © camsroy.com</t>
  </si>
  <si>
    <t>📊  camsroy.com  |  OPERATING CYCLE  —  DSO · DIO · DPO · Cash Conversion Cycle</t>
  </si>
  <si>
    <t>All figures derived from Inputs. Debtor days adjusted for GST where applicable.</t>
  </si>
  <si>
    <t>📐  OPERATING CYCLE METRICS</t>
  </si>
  <si>
    <t>Label</t>
  </si>
  <si>
    <t>Metric</t>
  </si>
  <si>
    <t>Days</t>
  </si>
  <si>
    <t>₹ Equivalent</t>
  </si>
  <si>
    <t>Interpretation</t>
  </si>
  <si>
    <t>Debtor Days (DSO)</t>
  </si>
  <si>
    <t>Inventory Days (DIO)</t>
  </si>
  <si>
    <t>Supplier Advance Days</t>
  </si>
  <si>
    <t>Advances paid to suppliers — adds to your WC requirement</t>
  </si>
  <si>
    <t>GROSS OPERATING CYCLE (DSO + DIO + Adv.Days)</t>
  </si>
  <si>
    <t>Total days cash is tied up BEFORE supplier credit is netted off</t>
  </si>
  <si>
    <t>Creditor Days (DPO) — Supplier Credit Received</t>
  </si>
  <si>
    <t>Customer Advance Days (reduces WC need)</t>
  </si>
  <si>
    <t>Advances received from customers — free funding, reduces WC gap</t>
  </si>
  <si>
    <t>NET SUPPLIER CREDIT (DPO + Customer Adv.Days)</t>
  </si>
  <si>
    <t>Funding your suppliers and customers effectively provide — reduces bank dependence</t>
  </si>
  <si>
    <t>CASH CONVERSION CYCLE (CCC) = Gross OC − Net Supplier Credit</t>
  </si>
  <si>
    <t>ℹ  DSO is GST-adjusted: debtors (which include GST) are divided by (1+GST rate) before calculating days against ex-GST revenue. Without this adjustment, DSO is overstated by ~18% for an 18% GST business. DPO and DIO use COGS (not revenue) as the denominator — the correct convention for cost-based items.  |  © camsroy.com</t>
  </si>
  <si>
    <t>💰  camsroy.com  |  WORKING CAPITAL GAP  —  How Much Cash Your Business Needs</t>
  </si>
  <si>
    <t>The WC Gap is what your business must fund from bank borrowings or promoter equity. Everything here flows from the Operating Cycle sheet.</t>
  </si>
  <si>
    <t>💰  A. WORKING CAPITAL REQUIREMENT (₹)</t>
  </si>
  <si>
    <t>Component</t>
  </si>
  <si>
    <t>Debtors / Receivables (ex-GST)</t>
  </si>
  <si>
    <t>GST-adjusted debtor balance</t>
  </si>
  <si>
    <t>Inventory in Operating Cycle</t>
  </si>
  <si>
    <t>Raw material + WIP + Finished Goods</t>
  </si>
  <si>
    <t>Advance Payments to Suppliers</t>
  </si>
  <si>
    <t>Prepayments made to vendors</t>
  </si>
  <si>
    <t>GROSS WORKING CAPITAL REQUIRED</t>
  </si>
  <si>
    <t>Total current assets in the operating cycle — before any credit</t>
  </si>
  <si>
    <t>➖  B. LESS: FREE FUNDING SOURCES</t>
  </si>
  <si>
    <t>Trade Payables / Creditor Funding</t>
  </si>
  <si>
    <t>Supplier credit — they are effectively funding your cycle</t>
  </si>
  <si>
    <t>Free funding — customer advances before you deliver</t>
  </si>
  <si>
    <t>TOTAL FREE FUNDING</t>
  </si>
  <si>
    <t>Payables + Customer Advances — what others fund for you</t>
  </si>
  <si>
    <t>NET WORKING CAPITAL GAP (Gross WC − Free Funding)</t>
  </si>
  <si>
    <t>This is the ₹ amount your business must arrange from its own funds + bank</t>
  </si>
  <si>
    <t>🏦  C. FUNDING SPLIT</t>
  </si>
  <si>
    <t>Promoter / Own Equity in WC</t>
  </si>
  <si>
    <t>Set in Inputs → Assumptions section</t>
  </si>
  <si>
    <t>Bank-Funded Portion (Minimum CC/OD Required)</t>
  </si>
  <si>
    <t>WC Gap less what promoter funds — minimum bank facility needed</t>
  </si>
  <si>
    <t>WC Gap as % of Annual Revenue</t>
  </si>
  <si>
    <t>Benchmark: 15-25% of revenue is typical for Indian SMEs</t>
  </si>
  <si>
    <t>WC Gap in Months of Revenue</t>
  </si>
  <si>
    <t>Number of months of revenue locked in working capital</t>
  </si>
  <si>
    <t>ℹ  Net WC Gap = the structural funding requirement of your business at current trading levels. It grows as revenue grows — a 20% revenue increase typically requires 20% more working capital. The What-If sheet shows exactly how much of this gap can be freed through better payment terms.  |  © camsroy.com</t>
  </si>
  <si>
    <t>🔄  camsroy.com  |  WHAT-IF SCENARIOS  —  Impact of Changing Payment Terms</t>
  </si>
  <si>
    <t>Enter improvement targets in the blue cells. The ₹ cash release calculates automatically from your current cycle.</t>
  </si>
  <si>
    <t>📍  CURRENT BASELINE</t>
  </si>
  <si>
    <t>Current Metric</t>
  </si>
  <si>
    <t>₹ in Cycle</t>
  </si>
  <si>
    <t>Creditor Days (DPO)</t>
  </si>
  <si>
    <t>Cash Conversion Cycle</t>
  </si>
  <si>
    <t>Net WC Gap (₹)</t>
  </si>
  <si>
    <t>—</t>
  </si>
  <si>
    <t>🎯  IMPROVEMENT TARGETS (enter days improvement in blue cells)</t>
  </si>
  <si>
    <t>Lever</t>
  </si>
  <si>
    <t>Improve by
(Days)</t>
  </si>
  <si>
    <t>New Days</t>
  </si>
  <si>
    <t>Cash Released (₹)</t>
  </si>
  <si>
    <t>Action to Achieve This</t>
  </si>
  <si>
    <t>Reduce Debtor Days (DSO)</t>
  </si>
  <si>
    <t>Tighten credit terms, offer early payment discount, follow up on overdue invoices</t>
  </si>
  <si>
    <t>Reduce Inventory Days (DIO)</t>
  </si>
  <si>
    <t>Just-In-Time ordering, reduce slow-moving stock, negotiate vendor-managed inventory</t>
  </si>
  <si>
    <t>Extend Creditor Days (DPO)</t>
  </si>
  <si>
    <t>Negotiate longer credit with suppliers, request 45-60 day standard terms</t>
  </si>
  <si>
    <t>Increase Customer Advances</t>
  </si>
  <si>
    <t>Request 10-20% advance on orders, especially for new customers</t>
  </si>
  <si>
    <t>TOTAL CASH RELEASED (Combined Improvement)</t>
  </si>
  <si>
    <t>Improved Net WC Gap After All Changes</t>
  </si>
  <si>
    <t>ℹ  These four levers are the only practical ways to reduce WC without raising more capital: collect faster (DSO), hold less stock (DIO), pay later (DPO), get paid earlier (advances). The most impactful for most Indian SMEs: improving DSO and extending DPO simultaneously. Note: extending DPO beyond 45 days for MSME-registered suppliers may breach the MSME Act.  |  © camsroy.com</t>
  </si>
  <si>
    <t>🏦  camsroy.com  |  FUNDING ANALYSIS  —  Bank CC/OD Limit &amp; Cost of WC Finance</t>
  </si>
  <si>
    <t>Drawing Power uses the standard Indian bank formula: 75% of (Debtors + Inventory - Creditors).</t>
  </si>
  <si>
    <t>🏛  A. BANK LIMIT ASSESSMENT</t>
  </si>
  <si>
    <t>Drawing Power — 75% of (Debtors + Inventory - Creditors)</t>
  </si>
  <si>
    <t>RBI-mandated formula — banks use this to set your CC/OD limit</t>
  </si>
  <si>
    <t>Minimum CC/OD Required (from WC Gap analysis)</t>
  </si>
  <si>
    <t>Bank-funded portion of Net WC Gap</t>
  </si>
  <si>
    <t>Recommended Limit to Request (with safety buffer)</t>
  </si>
  <si>
    <t>Minimum x (1 + Safety Buffer) — request this amount from your bank</t>
  </si>
  <si>
    <t>Current CC/OD Outstanding</t>
  </si>
  <si>
    <t>From Inputs — current balance on working capital facilities</t>
  </si>
  <si>
    <t>Available Headroom (additional limit to seek)</t>
  </si>
  <si>
    <t>Positive = seek more; zero/negative = current limit is sufficient</t>
  </si>
  <si>
    <t>💸  B. COST OF WORKING CAPITAL FINANCE</t>
  </si>
  <si>
    <t>Amount (₹ / %)</t>
  </si>
  <si>
    <t>Annual Interest Cost on WC Borrowing</t>
  </si>
  <si>
    <t>Recommended Limit x Interest Rate x Avg Utilisation</t>
  </si>
  <si>
    <t>WC Interest as % of Revenue</t>
  </si>
  <si>
    <t>Above 2-3% of revenue = WC is a significant cost drag</t>
  </si>
  <si>
    <t>Daily Interest Cost on WC Borrowing</t>
  </si>
  <si>
    <t>Rupees per day — motivates faster collections</t>
  </si>
  <si>
    <t>Annual Interest Saved if What-If Improvements Applied</t>
  </si>
  <si>
    <t>Cash freed by What-If improvements x rate x utilisation — real P&amp;L saving</t>
  </si>
  <si>
    <t>📋  C. INDIA-SPECIFIC CONTEXT</t>
  </si>
  <si>
    <t xml:space="preserve">  MSME Act (Sec 43B(h)) — 45-Day Rule</t>
  </si>
  <si>
    <t>Payments to MSME-registered suppliers must be made within 45 days. Late payment attracts compound interest at 3x RBI MCLR, and the amount is disallowed as a tax-deductible expense. Extending DPO beyond 45 days for MSME vendors is non-compliant.</t>
  </si>
  <si>
    <t xml:space="preserve">  Drawing Power Mechanics</t>
  </si>
  <si>
    <t>Banks recalculate Drawing Power monthly from stock and debtor statements (Quarterly Information System for limits above Rs.5 Cr). Debtors beyond 90 days are excluded from DP — faster collections directly increase your available CC/OD limit.</t>
  </si>
  <si>
    <t xml:space="preserve">  Bill Discounting vs CC/OD</t>
  </si>
  <si>
    <t>For B2B businesses with creditworthy buyers (PSUs, large corporates), bill discounting against confirmed invoices typically costs 50-100 bps less than CC/OD. Off-balance-sheet and self-liquidating — explore with your bank if buyer quality supports it.</t>
  </si>
  <si>
    <t xml:space="preserve">  GST Input Credit and WC</t>
  </si>
  <si>
    <t>GST paid on purchases is recoverable as input credit. Your effective WC need on the GST portion is zero if you claim credits monthly. Delay in GSTR-3B filing extends your effective WC cycle by the unpaid GST balance.</t>
  </si>
  <si>
    <t>ℹ  Drawing Power is standard RBI 75% convention. Interest savings are illustrative — actual savings depend on utilisation pattern.  |  © camsroy.com</t>
  </si>
  <si>
    <t>📈  camsroy.com  |  WORKING CAPITAL DASHBOARD</t>
  </si>
  <si>
    <t>All KPIs update automatically from Inputs. No manual entry on this sheet.</t>
  </si>
  <si>
    <t>KEY METRICS</t>
  </si>
  <si>
    <t>Cash Conversion Cycle (days)</t>
  </si>
  <si>
    <t>Net Working Capital Gap (Rs.)</t>
  </si>
  <si>
    <t>Drawing Power — Bank Formula</t>
  </si>
  <si>
    <t>CC/OD Limit to Request (Rs.)</t>
  </si>
  <si>
    <t>Annual WC Interest Cost (Rs.)</t>
  </si>
  <si>
    <t>Cash Released by What-If (Rs.)</t>
  </si>
  <si>
    <t>Annual Interest Saved (Rs.)</t>
  </si>
  <si>
    <t>CYCLE DAYS (Chart Data)</t>
  </si>
  <si>
    <t>WC GAP COMPONENTS (Chart Data)</t>
  </si>
  <si>
    <t>Rs. Amount</t>
  </si>
  <si>
    <t>Debtors (ex-GST)</t>
  </si>
  <si>
    <t>Inventory</t>
  </si>
  <si>
    <t>Supplier Advances</t>
  </si>
  <si>
    <t>Less: Creditors</t>
  </si>
  <si>
    <t>Less: Cust. Advances</t>
  </si>
  <si>
    <t>Net WC Gap</t>
  </si>
  <si>
    <t>camsroy.com  |  HOW TO USE  —  Working Capital Gap Calculator</t>
  </si>
  <si>
    <t>STEP-BY-STEP GUIDE</t>
  </si>
  <si>
    <t xml:space="preserve">  Step 1 — INPUTS Sheet (the only sheet you edit)</t>
  </si>
  <si>
    <t xml:space="preserve">    Enter annual Revenue, COGS, and overheads in Section A. Enter balance sheet figures — Debtors, Inventory, Creditors, Advances — in Section B. Set GST rate, promoter funds, CC interest rate, and assumptions in Section C.</t>
  </si>
  <si>
    <t xml:space="preserve">  Step 2 — OPERATING CYCLE Sheet (read-only)</t>
  </si>
  <si>
    <t xml:space="preserve">    Shows DSO, DIO, DPO and CCC automatically. Key detail: DSO is GST-adjusted — debtors include GST but revenue is ex-GST, so the template divides debtors by (1+GST%) before computing days. Without this, DSO is overstated by the GST percentage.</t>
  </si>
  <si>
    <t xml:space="preserve">  Step 3 — WC GAP Sheet (read-only)</t>
  </si>
  <si>
    <t xml:space="preserve">    Converts cycle days into rupees. Shows Gross WC required, Free Funding from suppliers/customers, Net WC Gap, and the split between promoter equity and bank credit required.</t>
  </si>
  <si>
    <t xml:space="preserve">  Step 4 — WHAT-IF Sheet</t>
  </si>
  <si>
    <t xml:space="preserve">    Enter realistic improvement targets — reduce DSO, reduce inventory days, extend creditor days, increase customer advances. The rupee cash release calculates immediately. Typical SME: 10 days on DSO alone releases 1-2 months of daily revenue.</t>
  </si>
  <si>
    <t xml:space="preserve">  Step 5 — FUNDING ANALYSIS Sheet (read-only)</t>
  </si>
  <si>
    <t xml:space="preserve">    Shows: Drawing Power (RBI 75% formula), recommended CC/OD limit (with buffer), annual interest cost, daily interest cost, and interest savings from What-If improvements.</t>
  </si>
  <si>
    <t xml:space="preserve">  Step 6 — DASHBOARD (read-only)</t>
  </si>
  <si>
    <t xml:space="preserve">    Summary of all key metrics and two charts. Share this with your CFO, board, or banker.</t>
  </si>
  <si>
    <t>KEY FORMULAS</t>
  </si>
  <si>
    <t xml:space="preserve">    DSO = (Debtors / (1+GST%)) x 365 / Revenue  —  GST-adjusted for accuracy</t>
  </si>
  <si>
    <t xml:space="preserve">    DIO = Inventory x 365 / COGS  —  uses COGS, not revenue, as denominator</t>
  </si>
  <si>
    <t xml:space="preserve">    DPO = Creditors x 365 / COGS</t>
  </si>
  <si>
    <t xml:space="preserve">    Net WC Gap = Debtors + Inventory + Supplier Advances - Creditors - Customer Advances</t>
  </si>
  <si>
    <t xml:space="preserve">    Drawing Power = 75% x (Debtors + Inventory - Creditors)  —  RBI standard formula</t>
  </si>
  <si>
    <t xml:space="preserve">    Interest Saved = Cash Released x Interest Rate x Utilisation%</t>
  </si>
  <si>
    <t>INDIA-SPECIFIC NOTES</t>
  </si>
  <si>
    <t xml:space="preserve">    MSME Act Sec 43B(h): Pay MSME suppliers within 45 days. Late payment = compound interest at 3x RBI MCLR + tax disallowance. Extending DPO beyond 45 days for MSME vendors is non-compliant.</t>
  </si>
  <si>
    <t xml:space="preserve">    GST on Debtors: Balance sheet debtors include GST. Always adjust by (1+GST%) for DSO. This template does it automatically — do not manually adjust the debtors figure in Inputs.</t>
  </si>
  <si>
    <t xml:space="preserve">    Drawing Power: Banks recalculate monthly from stock/debtor statements. Debtors beyond 90 days are excluded from DP — faster collections directly increase your CC/OD availability.</t>
  </si>
  <si>
    <t xml:space="preserve">    Bill Discounting: For B2B with PSU or large corporate buyers, bill discounting is typically 50-100 bps cheaper than CC/OD and off-balance-sheet.</t>
  </si>
  <si>
    <t>COMPANION TEMPLATES — camsroy.com</t>
  </si>
  <si>
    <t xml:space="preserve">    5-Year Financial Ratio Analysis: shows DSO/DIO/DPO in days — this template converts to rupees</t>
  </si>
  <si>
    <t xml:space="preserve">    Linked 3-Statement Model: shows WC as a balance sheet line — this template quantifies the funding gap within it</t>
  </si>
  <si>
    <t xml:space="preserve">    13-Week Rolling Cash Flow: for weekly cash planning once you know your structural WC requirement</t>
  </si>
  <si>
    <t>Copyright 2025 camsroy.com  |  Free for personal and commercial use  |  www.camsroy.com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</si>
</sst>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i/>
      <sz val="8"/>
      <color rgb="FF555555"/>
      <name val="Arial"/>
      <family val="2"/>
    </font>
    <font>
      <sz val="9"/>
      <color rgb="FF000000"/>
      <name val="Arial"/>
      <family val="2"/>
    </font>
    <font>
      <b/>
      <sz val="10"/>
      <color rgb="FF0D1B2A"/>
      <name val="Arial"/>
      <family val="2"/>
    </font>
    <font>
      <sz val="11"/>
      <color theme="1"/>
      <name val="Times New Roman"/>
      <family val="1"/>
    </font>
    <font>
      <b/>
      <sz val="22"/>
      <color rgb="FFFFFFFF"/>
      <name val="Times New Roman"/>
      <family val="1"/>
    </font>
    <font>
      <i/>
      <sz val="9"/>
      <color rgb="FFF3E5F5"/>
      <name val="Times New Roman"/>
      <family val="1"/>
    </font>
    <font>
      <b/>
      <sz val="18"/>
      <color rgb="FFFFFFFF"/>
      <name val="Times New Roman"/>
      <family val="1"/>
    </font>
    <font>
      <b/>
      <sz val="12"/>
      <color rgb="FFAED6F1"/>
      <name val="Times New Roman"/>
      <family val="1"/>
    </font>
    <font>
      <i/>
      <sz val="10"/>
      <color rgb="FFD7BDE2"/>
      <name val="Times New Roman"/>
      <family val="1"/>
    </font>
    <font>
      <sz val="10"/>
      <color rgb="FFAED6F1"/>
      <name val="Times New Roman"/>
      <family val="1"/>
    </font>
    <font>
      <b/>
      <sz val="10"/>
      <color rgb="FFFFFFFF"/>
      <name val="Times New Roman"/>
      <family val="1"/>
    </font>
    <font>
      <b/>
      <sz val="11"/>
      <color rgb="FFAED6F1"/>
      <name val="Times New Roman"/>
      <family val="1"/>
    </font>
    <font>
      <sz val="11"/>
      <color rgb="FFD4AC0D"/>
      <name val="Times New Roman"/>
      <family val="1"/>
    </font>
    <font>
      <sz val="9"/>
      <color rgb="FFBDC3C7"/>
      <name val="Times New Roman"/>
      <family val="1"/>
    </font>
    <font>
      <b/>
      <sz val="10"/>
      <color rgb="FFAED6F1"/>
      <name val="Times New Roman"/>
      <family val="1"/>
    </font>
    <font>
      <b/>
      <sz val="10"/>
      <color rgb="FFD4AC0D"/>
      <name val="Times New Roman"/>
      <family val="1"/>
    </font>
    <font>
      <b/>
      <sz val="9"/>
      <color rgb="FFD4AC0D"/>
      <name val="Times New Roman"/>
      <family val="1"/>
    </font>
    <font>
      <sz val="8"/>
      <color rgb="FF7F8C8D"/>
      <name val="Times New Roman"/>
      <family val="1"/>
    </font>
    <font>
      <b/>
      <sz val="12"/>
      <color rgb="FFFFFFFF"/>
      <name val="Times New Roman"/>
      <family val="1"/>
    </font>
    <font>
      <i/>
      <sz val="9"/>
      <color rgb="FF555555"/>
      <name val="Times New Roman"/>
      <family val="1"/>
    </font>
    <font>
      <b/>
      <sz val="9"/>
      <color rgb="FFFFFFFF"/>
      <name val="Times New Roman"/>
      <family val="1"/>
    </font>
    <font>
      <sz val="9"/>
      <color rgb="FF0D1B2A"/>
      <name val="Times New Roman"/>
      <family val="1"/>
    </font>
    <font>
      <sz val="9"/>
      <color rgb="FF0000FF"/>
      <name val="Times New Roman"/>
      <family val="1"/>
    </font>
    <font>
      <i/>
      <sz val="8"/>
      <color rgb="FF555555"/>
      <name val="Times New Roman"/>
      <family val="1"/>
    </font>
    <font>
      <b/>
      <sz val="9"/>
      <color rgb="FF117A65"/>
      <name val="Times New Roman"/>
      <family val="1"/>
    </font>
    <font>
      <b/>
      <sz val="9"/>
      <color rgb="FF0000FF"/>
      <name val="Times New Roman"/>
      <family val="1"/>
    </font>
    <font>
      <b/>
      <sz val="9"/>
      <color rgb="FF0D1B2A"/>
      <name val="Times New Roman"/>
      <family val="1"/>
    </font>
    <font>
      <sz val="9"/>
      <color rgb="FF000000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D1B2A"/>
      <name val="Times New Roman"/>
      <family val="1"/>
    </font>
    <font>
      <b/>
      <sz val="11"/>
      <color rgb="FF0D1B2A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6C3483"/>
        <bgColor rgb="FF993366"/>
      </patternFill>
    </fill>
    <fill>
      <patternFill patternType="solid">
        <fgColor rgb="FFD6EAF8"/>
        <bgColor rgb="FFD5F5E3"/>
      </patternFill>
    </fill>
    <fill>
      <patternFill patternType="solid">
        <fgColor rgb="FFD5F5E3"/>
        <bgColor rgb="FFD6EAF8"/>
      </patternFill>
    </fill>
    <fill>
      <patternFill patternType="solid">
        <fgColor rgb="FFD4AC0D"/>
        <bgColor rgb="FFFFCC00"/>
      </patternFill>
    </fill>
    <fill>
      <patternFill patternType="solid">
        <fgColor rgb="FFFDEDEC"/>
        <bgColor rgb="FFF2F3F4"/>
      </patternFill>
    </fill>
    <fill>
      <patternFill patternType="solid">
        <fgColor rgb="FFFCF3CF"/>
        <bgColor rgb="FFFDEDEC"/>
      </patternFill>
    </fill>
    <fill>
      <patternFill patternType="solid">
        <fgColor rgb="FFF2F3F4"/>
        <bgColor rgb="FFFDEDEC"/>
      </patternFill>
    </fill>
    <fill>
      <patternFill patternType="solid">
        <fgColor rgb="FF1B4F72"/>
        <bgColor rgb="FF333399"/>
      </patternFill>
    </fill>
    <fill>
      <patternFill patternType="solid">
        <fgColor rgb="FFA04000"/>
        <bgColor rgb="FF993366"/>
      </patternFill>
    </fill>
  </fills>
  <borders count="3">
    <border>
      <left/>
      <right/>
      <top/>
      <bottom/>
      <diagonal/>
    </border>
    <border>
      <left/>
      <right/>
      <top/>
      <bottom style="thin">
        <color rgb="FF2E86C1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10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5" fillId="9" borderId="0" xfId="0" applyFont="1" applyFill="1" applyAlignment="1">
      <alignment horizontal="left" vertical="center" wrapText="1" indent="1"/>
    </xf>
    <xf numFmtId="0" fontId="4" fillId="9" borderId="0" xfId="0" applyFont="1" applyFill="1" applyAlignment="1">
      <alignment horizontal="left" vertical="center" wrapText="1" indent="2"/>
    </xf>
    <xf numFmtId="0" fontId="3" fillId="9" borderId="0" xfId="0" applyFont="1" applyFill="1" applyAlignment="1">
      <alignment horizontal="center" vertical="center" wrapText="1"/>
    </xf>
    <xf numFmtId="0" fontId="6" fillId="0" borderId="0" xfId="0" applyFont="1"/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6" fillId="3" borderId="0" xfId="0" applyFont="1" applyFill="1" applyProtection="1">
      <protection locked="0"/>
    </xf>
    <xf numFmtId="0" fontId="12" fillId="2" borderId="0" xfId="0" applyFont="1" applyFill="1" applyAlignment="1" applyProtection="1">
      <alignment horizontal="left" vertical="center" wrapText="1" indent="1"/>
      <protection locked="0"/>
    </xf>
    <xf numFmtId="0" fontId="13" fillId="2" borderId="1" xfId="0" applyFont="1" applyFill="1" applyBorder="1" applyAlignment="1" applyProtection="1">
      <alignment horizontal="left" vertical="center" wrapText="1" inden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left" vertical="center" wrapText="1" indent="1"/>
      <protection locked="0"/>
    </xf>
    <xf numFmtId="0" fontId="17" fillId="2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Protection="1">
      <protection locked="0"/>
    </xf>
    <xf numFmtId="0" fontId="16" fillId="2" borderId="0" xfId="0" applyFont="1" applyFill="1" applyAlignment="1" applyProtection="1">
      <alignment horizontal="left" vertical="center" wrapText="1" indent="1"/>
      <protection locked="0"/>
    </xf>
    <xf numFmtId="0" fontId="6" fillId="5" borderId="0" xfId="0" applyFont="1" applyFill="1" applyProtection="1">
      <protection locked="0"/>
    </xf>
    <xf numFmtId="0" fontId="6" fillId="6" borderId="0" xfId="0" applyFont="1" applyFill="1" applyProtection="1">
      <protection locked="0"/>
    </xf>
    <xf numFmtId="0" fontId="6" fillId="7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left" vertical="center" wrapText="1"/>
    </xf>
    <xf numFmtId="0" fontId="6" fillId="3" borderId="0" xfId="0" applyFont="1" applyFill="1" applyProtection="1"/>
    <xf numFmtId="0" fontId="8" fillId="3" borderId="0" xfId="0" applyFont="1" applyFill="1" applyAlignment="1" applyProtection="1">
      <alignment horizontal="left" vertical="center" wrapText="1" indent="1"/>
    </xf>
    <xf numFmtId="0" fontId="9" fillId="2" borderId="0" xfId="0" applyFont="1" applyFill="1" applyAlignment="1" applyProtection="1">
      <alignment horizontal="left" vertical="center" wrapText="1"/>
    </xf>
    <xf numFmtId="0" fontId="10" fillId="2" borderId="0" xfId="0" applyFont="1" applyFill="1" applyAlignment="1" applyProtection="1">
      <alignment horizontal="left" vertical="center" wrapText="1"/>
    </xf>
    <xf numFmtId="0" fontId="11" fillId="2" borderId="0" xfId="0" applyFont="1" applyFill="1" applyAlignment="1" applyProtection="1">
      <alignment horizontal="left" vertical="center" wrapText="1"/>
    </xf>
    <xf numFmtId="0" fontId="21" fillId="2" borderId="0" xfId="0" applyFont="1" applyFill="1" applyAlignment="1">
      <alignment horizontal="left" vertical="center" wrapText="1" indent="1"/>
    </xf>
    <xf numFmtId="0" fontId="22" fillId="9" borderId="0" xfId="0" applyFont="1" applyFill="1" applyAlignment="1">
      <alignment horizontal="left" vertical="center" wrapText="1" indent="1"/>
    </xf>
    <xf numFmtId="0" fontId="13" fillId="10" borderId="0" xfId="0" applyFont="1" applyFill="1" applyAlignment="1">
      <alignment horizontal="left" vertical="center" wrapText="1" indent="1"/>
    </xf>
    <xf numFmtId="0" fontId="23" fillId="2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left" vertical="center" wrapText="1" indent="1"/>
    </xf>
    <xf numFmtId="3" fontId="25" fillId="4" borderId="2" xfId="0" applyNumberFormat="1" applyFont="1" applyFill="1" applyBorder="1" applyAlignment="1">
      <alignment horizontal="right" vertical="center"/>
    </xf>
    <xf numFmtId="0" fontId="26" fillId="9" borderId="2" xfId="0" applyFont="1" applyFill="1" applyBorder="1" applyAlignment="1">
      <alignment horizontal="left" vertical="center" wrapText="1" indent="1"/>
    </xf>
    <xf numFmtId="3" fontId="27" fillId="5" borderId="2" xfId="0" applyNumberFormat="1" applyFont="1" applyFill="1" applyBorder="1" applyAlignment="1">
      <alignment horizontal="right" vertical="center"/>
    </xf>
    <xf numFmtId="0" fontId="13" fillId="11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vertical="center" wrapText="1" indent="1"/>
    </xf>
    <xf numFmtId="164" fontId="28" fillId="4" borderId="2" xfId="0" applyNumberFormat="1" applyFont="1" applyFill="1" applyBorder="1" applyAlignment="1">
      <alignment horizontal="right" vertical="center"/>
    </xf>
    <xf numFmtId="3" fontId="28" fillId="4" borderId="2" xfId="0" applyNumberFormat="1" applyFont="1" applyFill="1" applyBorder="1" applyAlignment="1">
      <alignment horizontal="right" vertical="center"/>
    </xf>
    <xf numFmtId="0" fontId="26" fillId="9" borderId="0" xfId="0" applyFont="1" applyFill="1" applyAlignment="1">
      <alignment horizontal="left" vertical="center" wrapText="1" indent="1"/>
    </xf>
    <xf numFmtId="0" fontId="23" fillId="2" borderId="0" xfId="0" applyFont="1" applyFill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 indent="1"/>
    </xf>
    <xf numFmtId="0" fontId="29" fillId="6" borderId="2" xfId="0" applyFont="1" applyFill="1" applyBorder="1" applyAlignment="1">
      <alignment horizontal="left" vertical="center" wrapText="1" indent="1"/>
    </xf>
    <xf numFmtId="165" fontId="29" fillId="6" borderId="2" xfId="0" applyNumberFormat="1" applyFont="1" applyFill="1" applyBorder="1" applyAlignment="1">
      <alignment horizontal="right" vertical="center"/>
    </xf>
    <xf numFmtId="0" fontId="30" fillId="9" borderId="2" xfId="0" applyFont="1" applyFill="1" applyBorder="1" applyAlignment="1">
      <alignment horizontal="left" vertical="center" wrapText="1" indent="1"/>
    </xf>
    <xf numFmtId="165" fontId="24" fillId="9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 indent="1"/>
    </xf>
    <xf numFmtId="165" fontId="13" fillId="3" borderId="2" xfId="0" applyNumberFormat="1" applyFont="1" applyFill="1" applyBorder="1" applyAlignment="1">
      <alignment horizontal="right" vertical="center"/>
    </xf>
    <xf numFmtId="3" fontId="13" fillId="3" borderId="2" xfId="0" applyNumberFormat="1" applyFont="1" applyFill="1" applyBorder="1" applyAlignment="1">
      <alignment horizontal="right" vertical="center"/>
    </xf>
    <xf numFmtId="0" fontId="29" fillId="8" borderId="2" xfId="0" applyFont="1" applyFill="1" applyBorder="1" applyAlignment="1">
      <alignment horizontal="left" vertical="center" wrapText="1" indent="1"/>
    </xf>
    <xf numFmtId="165" fontId="29" fillId="8" borderId="2" xfId="0" applyNumberFormat="1" applyFont="1" applyFill="1" applyBorder="1" applyAlignment="1">
      <alignment horizontal="right" vertical="center"/>
    </xf>
    <xf numFmtId="0" fontId="23" fillId="11" borderId="2" xfId="0" applyFont="1" applyFill="1" applyBorder="1" applyAlignment="1">
      <alignment horizontal="left" vertical="center" wrapText="1" indent="1"/>
    </xf>
    <xf numFmtId="165" fontId="23" fillId="11" borderId="2" xfId="0" applyNumberFormat="1" applyFont="1" applyFill="1" applyBorder="1" applyAlignment="1">
      <alignment horizontal="right" vertical="center"/>
    </xf>
    <xf numFmtId="3" fontId="23" fillId="11" borderId="2" xfId="0" applyNumberFormat="1" applyFont="1" applyFill="1" applyBorder="1" applyAlignment="1">
      <alignment horizontal="right" vertical="center"/>
    </xf>
    <xf numFmtId="0" fontId="31" fillId="2" borderId="2" xfId="0" applyFont="1" applyFill="1" applyBorder="1" applyAlignment="1">
      <alignment horizontal="left" vertical="center" wrapText="1" indent="1"/>
    </xf>
    <xf numFmtId="165" fontId="21" fillId="2" borderId="2" xfId="0" applyNumberFormat="1" applyFont="1" applyFill="1" applyBorder="1" applyAlignment="1">
      <alignment horizontal="right" vertical="center"/>
    </xf>
    <xf numFmtId="3" fontId="31" fillId="2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horizontal="left" vertical="center" wrapText="1" indent="1"/>
    </xf>
    <xf numFmtId="0" fontId="23" fillId="3" borderId="2" xfId="0" applyFont="1" applyFill="1" applyBorder="1" applyAlignment="1">
      <alignment horizontal="left" vertical="center" wrapText="1" indent="1"/>
    </xf>
    <xf numFmtId="0" fontId="24" fillId="8" borderId="2" xfId="0" applyFont="1" applyFill="1" applyBorder="1" applyAlignment="1">
      <alignment horizontal="left" vertical="center" wrapText="1" indent="1"/>
    </xf>
    <xf numFmtId="0" fontId="21" fillId="2" borderId="2" xfId="0" applyFont="1" applyFill="1" applyBorder="1" applyAlignment="1">
      <alignment horizontal="left" vertical="center" wrapText="1" indent="1"/>
    </xf>
    <xf numFmtId="3" fontId="21" fillId="2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left" vertical="center" wrapText="1" indent="1"/>
    </xf>
    <xf numFmtId="3" fontId="32" fillId="6" borderId="2" xfId="0" applyNumberFormat="1" applyFont="1" applyFill="1" applyBorder="1" applyAlignment="1">
      <alignment horizontal="right" vertical="center"/>
    </xf>
    <xf numFmtId="164" fontId="24" fillId="9" borderId="2" xfId="0" applyNumberFormat="1" applyFont="1" applyFill="1" applyBorder="1" applyAlignment="1">
      <alignment horizontal="right" vertical="center"/>
    </xf>
    <xf numFmtId="165" fontId="27" fillId="5" borderId="2" xfId="0" applyNumberFormat="1" applyFont="1" applyFill="1" applyBorder="1" applyAlignment="1">
      <alignment horizontal="right" vertical="center"/>
    </xf>
    <xf numFmtId="0" fontId="6" fillId="9" borderId="0" xfId="0" applyFont="1" applyFill="1"/>
    <xf numFmtId="0" fontId="30" fillId="9" borderId="2" xfId="0" applyFont="1" applyFill="1" applyBorder="1" applyAlignment="1">
      <alignment horizontal="center" vertical="center" wrapText="1"/>
    </xf>
    <xf numFmtId="1" fontId="28" fillId="4" borderId="2" xfId="0" applyNumberFormat="1" applyFont="1" applyFill="1" applyBorder="1" applyAlignment="1">
      <alignment horizontal="center" vertical="center" wrapText="1"/>
    </xf>
    <xf numFmtId="3" fontId="29" fillId="6" borderId="2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/>
    <xf numFmtId="0" fontId="6" fillId="9" borderId="2" xfId="0" applyFont="1" applyFill="1" applyBorder="1"/>
    <xf numFmtId="0" fontId="6" fillId="6" borderId="2" xfId="0" applyFont="1" applyFill="1" applyBorder="1"/>
    <xf numFmtId="0" fontId="24" fillId="6" borderId="2" xfId="0" applyFont="1" applyFill="1" applyBorder="1" applyAlignment="1">
      <alignment horizontal="left" vertical="center" wrapText="1" indent="1"/>
    </xf>
    <xf numFmtId="3" fontId="29" fillId="6" borderId="2" xfId="0" applyNumberFormat="1" applyFont="1" applyFill="1" applyBorder="1" applyAlignment="1">
      <alignment horizontal="left" vertical="center" wrapText="1" indent="1"/>
    </xf>
    <xf numFmtId="3" fontId="27" fillId="5" borderId="2" xfId="0" applyNumberFormat="1" applyFont="1" applyFill="1" applyBorder="1" applyAlignment="1">
      <alignment horizontal="left" vertical="center" wrapText="1" indent="1"/>
    </xf>
    <xf numFmtId="3" fontId="13" fillId="3" borderId="2" xfId="0" applyNumberFormat="1" applyFont="1" applyFill="1" applyBorder="1" applyAlignment="1">
      <alignment horizontal="left" vertical="center" wrapText="1" indent="1"/>
    </xf>
    <xf numFmtId="164" fontId="30" fillId="9" borderId="2" xfId="0" applyNumberFormat="1" applyFont="1" applyFill="1" applyBorder="1" applyAlignment="1">
      <alignment horizontal="left" vertical="center" wrapText="1" indent="1"/>
    </xf>
    <xf numFmtId="3" fontId="30" fillId="9" borderId="2" xfId="0" applyNumberFormat="1" applyFont="1" applyFill="1" applyBorder="1" applyAlignment="1">
      <alignment horizontal="left" vertical="center" wrapText="1" indent="1"/>
    </xf>
    <xf numFmtId="0" fontId="29" fillId="5" borderId="2" xfId="0" applyFont="1" applyFill="1" applyBorder="1" applyAlignment="1">
      <alignment horizontal="left" vertical="center" wrapText="1" indent="1"/>
    </xf>
    <xf numFmtId="3" fontId="29" fillId="5" borderId="2" xfId="0" applyNumberFormat="1" applyFont="1" applyFill="1" applyBorder="1" applyAlignment="1">
      <alignment horizontal="left" vertical="center" wrapText="1" indent="1"/>
    </xf>
    <xf numFmtId="0" fontId="31" fillId="10" borderId="0" xfId="0" applyFont="1" applyFill="1" applyAlignment="1">
      <alignment horizontal="left" vertical="center" wrapText="1" indent="1"/>
    </xf>
    <xf numFmtId="165" fontId="33" fillId="6" borderId="2" xfId="0" applyNumberFormat="1" applyFont="1" applyFill="1" applyBorder="1" applyAlignment="1">
      <alignment horizontal="left" vertical="center" wrapText="1" indent="1"/>
    </xf>
    <xf numFmtId="3" fontId="33" fillId="7" borderId="2" xfId="0" applyNumberFormat="1" applyFont="1" applyFill="1" applyBorder="1" applyAlignment="1">
      <alignment horizontal="left" vertical="center" wrapText="1" indent="1"/>
    </xf>
    <xf numFmtId="3" fontId="33" fillId="5" borderId="2" xfId="0" applyNumberFormat="1" applyFont="1" applyFill="1" applyBorder="1" applyAlignment="1">
      <alignment horizontal="left" vertical="center" wrapText="1" indent="1"/>
    </xf>
    <xf numFmtId="3" fontId="33" fillId="4" borderId="2" xfId="0" applyNumberFormat="1" applyFont="1" applyFill="1" applyBorder="1" applyAlignment="1">
      <alignment horizontal="left" vertical="center" wrapText="1" indent="1"/>
    </xf>
    <xf numFmtId="3" fontId="33" fillId="8" borderId="2" xfId="0" applyNumberFormat="1" applyFont="1" applyFill="1" applyBorder="1" applyAlignment="1">
      <alignment horizontal="left" vertical="center" wrapText="1" indent="1"/>
    </xf>
    <xf numFmtId="165" fontId="30" fillId="9" borderId="2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7A65"/>
      <rgbColor rgb="FFBDBDBD"/>
      <rgbColor rgb="FF878787"/>
      <rgbColor rgb="FF9999FF"/>
      <rgbColor rgb="FF6C3483"/>
      <rgbColor rgb="FFFCF3CF"/>
      <rgbColor rgb="FFD6EAF8"/>
      <rgbColor rgb="FF660066"/>
      <rgbColor rgb="FFFF8080"/>
      <rgbColor rgb="FF0066CC"/>
      <rgbColor rgb="FFD7B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4"/>
      <rgbColor rgb="FFD5F5E3"/>
      <rgbColor rgb="FFFDEDEC"/>
      <rgbColor rgb="FFAED6F1"/>
      <rgbColor rgb="FFF3E5F5"/>
      <rgbColor rgb="FFBDC3C7"/>
      <rgbColor rgb="FFD9D9D9"/>
      <rgbColor rgb="FF2E86C1"/>
      <rgbColor rgb="FF33CCCC"/>
      <rgbColor rgb="FF99CC00"/>
      <rgbColor rgb="FFFFCC00"/>
      <rgbColor rgb="FFD4AC0D"/>
      <rgbColor rgb="FFFF6600"/>
      <rgbColor rgb="FF555555"/>
      <rgbColor rgb="FF7F8C8D"/>
      <rgbColor rgb="FF1B4F72"/>
      <rgbColor rgb="FF339966"/>
      <rgbColor rgb="FF0D1B2A"/>
      <rgbColor rgb="FF333300"/>
      <rgbColor rgb="FFA040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Operating Cycle — Days Breakdown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'📈 DASHBOARD'!$B$13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rgbClr val="2E86C1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DASHBOARD'!$A$14:$A$17</c:f>
              <c:strCache>
                <c:ptCount val="4"/>
                <c:pt idx="0">
                  <c:v>Debtor Days (DSO)</c:v>
                </c:pt>
                <c:pt idx="1">
                  <c:v>Inventory Days (DIO)</c:v>
                </c:pt>
                <c:pt idx="2">
                  <c:v>Creditor Days (DPO)</c:v>
                </c:pt>
                <c:pt idx="3">
                  <c:v>Cash Conversion Cycle</c:v>
                </c:pt>
              </c:strCache>
            </c:strRef>
          </c:cat>
          <c:val>
            <c:numRef>
              <c:f>'📈 DASHBOARD'!$B$14:$B$17</c:f>
              <c:numCache>
                <c:formatCode>0.0</c:formatCode>
                <c:ptCount val="4"/>
                <c:pt idx="0">
                  <c:v>38.700000000000003</c:v>
                </c:pt>
                <c:pt idx="1">
                  <c:v>50.7</c:v>
                </c:pt>
                <c:pt idx="2">
                  <c:v>30.4</c:v>
                </c:pt>
                <c:pt idx="3">
                  <c:v>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9-40E1-A3E5-1A1020F0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9084667"/>
        <c:axId val="20554025"/>
      </c:barChart>
      <c:catAx>
        <c:axId val="790846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554025"/>
        <c:crosses val="autoZero"/>
        <c:auto val="1"/>
        <c:lblAlgn val="ctr"/>
        <c:lblOffset val="100"/>
        <c:noMultiLvlLbl val="0"/>
      </c:catAx>
      <c:valAx>
        <c:axId val="2055402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Days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908466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WC Gap — Components (Rs.)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'📈 DASHBOARD'!$B$20</c:f>
              <c:strCache>
                <c:ptCount val="1"/>
                <c:pt idx="0">
                  <c:v>Rs. Amount</c:v>
                </c:pt>
              </c:strCache>
            </c:strRef>
          </c:tx>
          <c:spPr>
            <a:solidFill>
              <a:srgbClr val="2E86C1"/>
            </a:solidFill>
            <a:ln w="93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DASHBOARD'!$A$21:$A$26</c:f>
              <c:strCache>
                <c:ptCount val="6"/>
                <c:pt idx="0">
                  <c:v>Debtors (ex-GST)</c:v>
                </c:pt>
                <c:pt idx="1">
                  <c:v>Inventory</c:v>
                </c:pt>
                <c:pt idx="2">
                  <c:v>Supplier Advances</c:v>
                </c:pt>
                <c:pt idx="3">
                  <c:v>Less: Creditors</c:v>
                </c:pt>
                <c:pt idx="4">
                  <c:v>Less: Cust. Advances</c:v>
                </c:pt>
                <c:pt idx="5">
                  <c:v>Net WC Gap</c:v>
                </c:pt>
              </c:strCache>
            </c:strRef>
          </c:cat>
          <c:val>
            <c:numRef>
              <c:f>'📈 DASHBOARD'!$B$21:$B$26</c:f>
              <c:numCache>
                <c:formatCode>#,##0</c:formatCode>
                <c:ptCount val="6"/>
                <c:pt idx="0">
                  <c:v>3813559.3220338984</c:v>
                </c:pt>
                <c:pt idx="1">
                  <c:v>3500000</c:v>
                </c:pt>
                <c:pt idx="2">
                  <c:v>350000</c:v>
                </c:pt>
                <c:pt idx="3">
                  <c:v>-2100000</c:v>
                </c:pt>
                <c:pt idx="4">
                  <c:v>-200000</c:v>
                </c:pt>
                <c:pt idx="5">
                  <c:v>5363559.3220338989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D-407F-A388-BA34B8C2B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0441502"/>
        <c:axId val="95066957"/>
      </c:barChart>
      <c:catAx>
        <c:axId val="4044150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5066957"/>
        <c:crosses val="autoZero"/>
        <c:auto val="1"/>
        <c:lblAlgn val="ctr"/>
        <c:lblOffset val="100"/>
        <c:noMultiLvlLbl val="0"/>
      </c:catAx>
      <c:valAx>
        <c:axId val="950669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Rs.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44150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18</xdr:col>
      <xdr:colOff>4320</xdr:colOff>
      <xdr:row>18</xdr:row>
      <xdr:rowOff>54360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19</xdr:row>
      <xdr:rowOff>0</xdr:rowOff>
    </xdr:from>
    <xdr:to>
      <xdr:col>18</xdr:col>
      <xdr:colOff>4320</xdr:colOff>
      <xdr:row>39</xdr:row>
      <xdr:rowOff>92160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1B2A"/>
  </sheetPr>
  <dimension ref="A1:G59"/>
  <sheetViews>
    <sheetView zoomScaleNormal="100" workbookViewId="0">
      <selection sqref="A1:G12"/>
    </sheetView>
  </sheetViews>
  <sheetFormatPr defaultColWidth="8.7109375" defaultRowHeight="15" x14ac:dyDescent="0.25"/>
  <cols>
    <col min="1" max="1" width="3" style="8" customWidth="1"/>
    <col min="2" max="2" width="32" style="8" customWidth="1"/>
    <col min="3" max="3" width="54" style="8" customWidth="1"/>
    <col min="4" max="4" width="5" style="8" customWidth="1"/>
    <col min="5" max="16384" width="8.7109375" style="8"/>
  </cols>
  <sheetData>
    <row r="1" spans="1:7" ht="18" customHeight="1" x14ac:dyDescent="0.25">
      <c r="A1" s="25"/>
      <c r="B1" s="25"/>
      <c r="C1" s="25"/>
      <c r="D1" s="25"/>
      <c r="E1" s="25"/>
      <c r="F1" s="25"/>
      <c r="G1" s="25"/>
    </row>
    <row r="2" spans="1:7" ht="31.5" customHeight="1" x14ac:dyDescent="0.25">
      <c r="A2" s="25"/>
      <c r="B2" s="26" t="s">
        <v>0</v>
      </c>
      <c r="C2" s="26"/>
      <c r="D2" s="25"/>
      <c r="E2" s="25"/>
      <c r="F2" s="25"/>
      <c r="G2" s="25"/>
    </row>
    <row r="3" spans="1:7" ht="27.75" customHeight="1" x14ac:dyDescent="0.25">
      <c r="A3" s="25"/>
      <c r="B3" s="26"/>
      <c r="C3" s="26"/>
      <c r="D3" s="25"/>
      <c r="E3" s="25"/>
      <c r="F3" s="25"/>
      <c r="G3" s="25"/>
    </row>
    <row r="4" spans="1:7" ht="18" customHeight="1" x14ac:dyDescent="0.25">
      <c r="A4" s="27"/>
      <c r="B4" s="28" t="s">
        <v>1</v>
      </c>
      <c r="C4" s="28"/>
      <c r="D4" s="27"/>
      <c r="E4" s="27"/>
      <c r="F4" s="27"/>
      <c r="G4" s="27"/>
    </row>
    <row r="5" spans="1:7" ht="18" customHeight="1" x14ac:dyDescent="0.25">
      <c r="A5" s="27"/>
      <c r="B5" s="28"/>
      <c r="C5" s="28"/>
      <c r="D5" s="27"/>
      <c r="E5" s="27"/>
      <c r="F5" s="27"/>
      <c r="G5" s="27"/>
    </row>
    <row r="6" spans="1:7" ht="18" customHeight="1" x14ac:dyDescent="0.25">
      <c r="A6" s="25"/>
      <c r="B6" s="25"/>
      <c r="C6" s="25"/>
      <c r="D6" s="25"/>
      <c r="E6" s="25"/>
      <c r="F6" s="25"/>
      <c r="G6" s="25"/>
    </row>
    <row r="7" spans="1:7" ht="7.5" customHeight="1" x14ac:dyDescent="0.25">
      <c r="A7" s="25"/>
      <c r="B7" s="25"/>
      <c r="C7" s="25"/>
      <c r="D7" s="25"/>
      <c r="E7" s="25"/>
      <c r="F7" s="25"/>
      <c r="G7" s="25"/>
    </row>
    <row r="8" spans="1:7" ht="31.5" customHeight="1" x14ac:dyDescent="0.25">
      <c r="A8" s="25"/>
      <c r="B8" s="29" t="s">
        <v>2</v>
      </c>
      <c r="C8" s="29"/>
      <c r="D8" s="25"/>
      <c r="E8" s="25"/>
      <c r="F8" s="25"/>
      <c r="G8" s="25"/>
    </row>
    <row r="9" spans="1:7" ht="27.75" customHeight="1" x14ac:dyDescent="0.25">
      <c r="A9" s="25"/>
      <c r="B9" s="29"/>
      <c r="C9" s="29"/>
      <c r="D9" s="25"/>
      <c r="E9" s="25"/>
      <c r="F9" s="25"/>
      <c r="G9" s="25"/>
    </row>
    <row r="10" spans="1:7" ht="21.75" customHeight="1" x14ac:dyDescent="0.25">
      <c r="A10" s="25"/>
      <c r="B10" s="30" t="s">
        <v>3</v>
      </c>
      <c r="C10" s="30"/>
      <c r="D10" s="25"/>
      <c r="E10" s="25"/>
      <c r="F10" s="25"/>
      <c r="G10" s="25"/>
    </row>
    <row r="11" spans="1:7" ht="18" customHeight="1" x14ac:dyDescent="0.25">
      <c r="A11" s="25"/>
      <c r="B11" s="31" t="s">
        <v>4</v>
      </c>
      <c r="C11" s="31"/>
      <c r="D11" s="25"/>
      <c r="E11" s="25"/>
      <c r="F11" s="25"/>
      <c r="G11" s="25"/>
    </row>
    <row r="12" spans="1:7" ht="18" customHeight="1" x14ac:dyDescent="0.25">
      <c r="A12" s="25"/>
      <c r="B12" s="25"/>
      <c r="C12" s="25"/>
      <c r="D12" s="25"/>
      <c r="E12" s="25"/>
      <c r="F12" s="25"/>
      <c r="G12" s="25"/>
    </row>
    <row r="13" spans="1:7" ht="3" customHeight="1" x14ac:dyDescent="0.25">
      <c r="A13" s="7"/>
      <c r="B13" s="9"/>
      <c r="C13" s="9"/>
      <c r="D13" s="9"/>
      <c r="E13" s="7"/>
      <c r="F13" s="7"/>
      <c r="G13" s="7"/>
    </row>
    <row r="14" spans="1:7" ht="18" customHeight="1" x14ac:dyDescent="0.25">
      <c r="A14" s="7"/>
      <c r="B14" s="7"/>
      <c r="C14" s="7"/>
      <c r="D14" s="7"/>
      <c r="E14" s="7"/>
      <c r="F14" s="7"/>
      <c r="G14" s="7"/>
    </row>
    <row r="15" spans="1:7" ht="19.5" customHeight="1" x14ac:dyDescent="0.25">
      <c r="A15" s="7"/>
      <c r="B15" s="10" t="s">
        <v>5</v>
      </c>
      <c r="C15" s="11" t="s">
        <v>6</v>
      </c>
      <c r="D15" s="7"/>
      <c r="E15" s="7"/>
      <c r="F15" s="7"/>
      <c r="G15" s="7"/>
    </row>
    <row r="16" spans="1:7" ht="19.5" customHeight="1" x14ac:dyDescent="0.25">
      <c r="A16" s="7"/>
      <c r="B16" s="10" t="s">
        <v>7</v>
      </c>
      <c r="C16" s="11" t="s">
        <v>8</v>
      </c>
      <c r="D16" s="7"/>
      <c r="E16" s="7"/>
      <c r="F16" s="7"/>
      <c r="G16" s="7"/>
    </row>
    <row r="17" spans="1:7" ht="19.5" customHeight="1" x14ac:dyDescent="0.25">
      <c r="A17" s="7"/>
      <c r="B17" s="10" t="s">
        <v>9</v>
      </c>
      <c r="C17" s="11" t="s">
        <v>10</v>
      </c>
      <c r="D17" s="7"/>
      <c r="E17" s="7"/>
      <c r="F17" s="7"/>
      <c r="G17" s="7"/>
    </row>
    <row r="18" spans="1:7" ht="19.5" customHeight="1" x14ac:dyDescent="0.25">
      <c r="A18" s="7"/>
      <c r="B18" s="10" t="s">
        <v>11</v>
      </c>
      <c r="C18" s="11" t="s">
        <v>12</v>
      </c>
      <c r="D18" s="7"/>
      <c r="E18" s="7"/>
      <c r="F18" s="7"/>
      <c r="G18" s="7"/>
    </row>
    <row r="19" spans="1:7" ht="19.5" customHeight="1" x14ac:dyDescent="0.25">
      <c r="A19" s="7"/>
      <c r="B19" s="10" t="s">
        <v>13</v>
      </c>
      <c r="C19" s="11" t="s">
        <v>14</v>
      </c>
      <c r="D19" s="7"/>
      <c r="E19" s="7"/>
      <c r="F19" s="7"/>
      <c r="G19" s="7"/>
    </row>
    <row r="20" spans="1:7" ht="18" customHeight="1" x14ac:dyDescent="0.25">
      <c r="A20" s="7"/>
      <c r="B20" s="7"/>
      <c r="C20" s="7"/>
      <c r="D20" s="7"/>
      <c r="E20" s="7"/>
      <c r="F20" s="7"/>
      <c r="G20" s="7"/>
    </row>
    <row r="21" spans="1:7" ht="7.5" customHeight="1" x14ac:dyDescent="0.25">
      <c r="A21" s="7"/>
      <c r="B21" s="7"/>
      <c r="C21" s="7"/>
      <c r="D21" s="7"/>
      <c r="E21" s="7"/>
      <c r="F21" s="7"/>
      <c r="G21" s="7"/>
    </row>
    <row r="22" spans="1:7" ht="21.75" customHeight="1" x14ac:dyDescent="0.25">
      <c r="A22" s="7"/>
      <c r="B22" s="12" t="s">
        <v>15</v>
      </c>
      <c r="C22" s="12"/>
      <c r="D22" s="7"/>
      <c r="E22" s="7"/>
      <c r="F22" s="7"/>
      <c r="G22" s="7"/>
    </row>
    <row r="23" spans="1:7" ht="33.75" customHeight="1" x14ac:dyDescent="0.25">
      <c r="A23" s="7"/>
      <c r="B23" s="13" t="s">
        <v>16</v>
      </c>
      <c r="C23" s="14" t="s">
        <v>17</v>
      </c>
      <c r="D23" s="7"/>
      <c r="E23" s="7"/>
      <c r="F23" s="7"/>
      <c r="G23" s="7"/>
    </row>
    <row r="24" spans="1:7" ht="32.25" customHeight="1" x14ac:dyDescent="0.25">
      <c r="A24" s="7"/>
      <c r="B24" s="13" t="s">
        <v>18</v>
      </c>
      <c r="C24" s="14" t="s">
        <v>19</v>
      </c>
      <c r="D24" s="7"/>
      <c r="E24" s="7"/>
      <c r="F24" s="7"/>
      <c r="G24" s="7"/>
    </row>
    <row r="25" spans="1:7" ht="34.5" customHeight="1" x14ac:dyDescent="0.25">
      <c r="A25" s="7"/>
      <c r="B25" s="13" t="s">
        <v>20</v>
      </c>
      <c r="C25" s="14" t="s">
        <v>21</v>
      </c>
      <c r="D25" s="7"/>
      <c r="E25" s="7"/>
      <c r="F25" s="7"/>
      <c r="G25" s="7"/>
    </row>
    <row r="26" spans="1:7" ht="36" customHeight="1" x14ac:dyDescent="0.25">
      <c r="A26" s="7"/>
      <c r="B26" s="13" t="s">
        <v>22</v>
      </c>
      <c r="C26" s="14" t="s">
        <v>23</v>
      </c>
      <c r="D26" s="7"/>
      <c r="E26" s="7"/>
      <c r="F26" s="7"/>
      <c r="G26" s="7"/>
    </row>
    <row r="27" spans="1:7" ht="39.75" customHeight="1" x14ac:dyDescent="0.25">
      <c r="A27" s="7"/>
      <c r="B27" s="13" t="s">
        <v>24</v>
      </c>
      <c r="C27" s="14" t="s">
        <v>25</v>
      </c>
      <c r="D27" s="7"/>
      <c r="E27" s="7"/>
      <c r="F27" s="7"/>
      <c r="G27" s="7"/>
    </row>
    <row r="28" spans="1:7" ht="33.75" customHeight="1" x14ac:dyDescent="0.25">
      <c r="A28" s="7"/>
      <c r="B28" s="13" t="s">
        <v>26</v>
      </c>
      <c r="C28" s="14" t="s">
        <v>27</v>
      </c>
      <c r="D28" s="7"/>
      <c r="E28" s="7"/>
      <c r="F28" s="7"/>
      <c r="G28" s="7"/>
    </row>
    <row r="29" spans="1:7" ht="38.25" customHeight="1" x14ac:dyDescent="0.25">
      <c r="A29" s="7"/>
      <c r="B29" s="13" t="s">
        <v>28</v>
      </c>
      <c r="C29" s="14" t="s">
        <v>29</v>
      </c>
      <c r="D29" s="7"/>
      <c r="E29" s="7"/>
      <c r="F29" s="7"/>
      <c r="G29" s="7"/>
    </row>
    <row r="30" spans="1:7" ht="18" customHeight="1" x14ac:dyDescent="0.25">
      <c r="A30" s="7"/>
      <c r="B30" s="7"/>
      <c r="C30" s="7"/>
      <c r="D30" s="7"/>
      <c r="E30" s="7"/>
      <c r="F30" s="7"/>
      <c r="G30" s="7"/>
    </row>
    <row r="31" spans="1:7" ht="7.5" customHeight="1" x14ac:dyDescent="0.25">
      <c r="A31" s="7"/>
      <c r="B31" s="7"/>
      <c r="C31" s="7"/>
      <c r="D31" s="7"/>
      <c r="E31" s="7"/>
      <c r="F31" s="7"/>
      <c r="G31" s="7"/>
    </row>
    <row r="32" spans="1:7" ht="19.5" customHeight="1" x14ac:dyDescent="0.25">
      <c r="A32" s="7"/>
      <c r="B32" s="15" t="s">
        <v>30</v>
      </c>
      <c r="C32" s="15"/>
      <c r="D32" s="7"/>
      <c r="E32" s="7"/>
      <c r="F32" s="7"/>
      <c r="G32" s="7"/>
    </row>
    <row r="33" spans="1:7" ht="18" customHeight="1" x14ac:dyDescent="0.25">
      <c r="A33" s="7"/>
      <c r="B33" s="16"/>
      <c r="C33" s="17" t="s">
        <v>31</v>
      </c>
      <c r="D33" s="17"/>
      <c r="E33" s="7"/>
      <c r="F33" s="7"/>
      <c r="G33" s="7"/>
    </row>
    <row r="34" spans="1:7" ht="18" customHeight="1" x14ac:dyDescent="0.25">
      <c r="A34" s="7"/>
      <c r="B34" s="18"/>
      <c r="C34" s="17" t="s">
        <v>32</v>
      </c>
      <c r="D34" s="17"/>
      <c r="E34" s="7"/>
      <c r="F34" s="7"/>
      <c r="G34" s="7"/>
    </row>
    <row r="35" spans="1:7" ht="18" customHeight="1" x14ac:dyDescent="0.25">
      <c r="A35" s="7"/>
      <c r="B35" s="19"/>
      <c r="C35" s="17" t="s">
        <v>33</v>
      </c>
      <c r="D35" s="17"/>
      <c r="E35" s="7"/>
      <c r="F35" s="7"/>
      <c r="G35" s="7"/>
    </row>
    <row r="36" spans="1:7" ht="18" customHeight="1" x14ac:dyDescent="0.25">
      <c r="A36" s="7"/>
      <c r="B36" s="20"/>
      <c r="C36" s="17" t="s">
        <v>34</v>
      </c>
      <c r="D36" s="17"/>
      <c r="E36" s="7"/>
      <c r="F36" s="7"/>
      <c r="G36" s="7"/>
    </row>
    <row r="37" spans="1:7" ht="18" customHeight="1" x14ac:dyDescent="0.25">
      <c r="A37" s="7"/>
      <c r="B37" s="21"/>
      <c r="C37" s="17" t="s">
        <v>35</v>
      </c>
      <c r="D37" s="17"/>
      <c r="E37" s="7"/>
      <c r="F37" s="7"/>
      <c r="G37" s="7"/>
    </row>
    <row r="38" spans="1:7" ht="18" customHeight="1" x14ac:dyDescent="0.25">
      <c r="A38" s="7"/>
      <c r="B38" s="7"/>
      <c r="C38" s="7"/>
      <c r="D38" s="7"/>
      <c r="E38" s="7"/>
      <c r="F38" s="7"/>
      <c r="G38" s="7"/>
    </row>
    <row r="39" spans="1:7" ht="19.5" customHeight="1" x14ac:dyDescent="0.25">
      <c r="A39" s="7"/>
      <c r="B39" s="22" t="s">
        <v>36</v>
      </c>
      <c r="C39" s="22"/>
      <c r="D39" s="7"/>
      <c r="E39" s="7"/>
      <c r="F39" s="7"/>
      <c r="G39" s="7"/>
    </row>
    <row r="40" spans="1:7" ht="16.5" customHeight="1" x14ac:dyDescent="0.25">
      <c r="A40" s="7"/>
      <c r="B40" s="23" t="s">
        <v>37</v>
      </c>
      <c r="C40" s="17" t="s">
        <v>38</v>
      </c>
      <c r="D40" s="17"/>
      <c r="E40" s="7"/>
      <c r="F40" s="7"/>
      <c r="G40" s="7"/>
    </row>
    <row r="41" spans="1:7" ht="32.25" customHeight="1" x14ac:dyDescent="0.25">
      <c r="A41" s="7"/>
      <c r="B41" s="23" t="s">
        <v>37</v>
      </c>
      <c r="C41" s="17" t="s">
        <v>39</v>
      </c>
      <c r="D41" s="17"/>
      <c r="E41" s="7"/>
      <c r="F41" s="7"/>
      <c r="G41" s="7"/>
    </row>
    <row r="42" spans="1:7" ht="36.75" customHeight="1" x14ac:dyDescent="0.25">
      <c r="A42" s="7"/>
      <c r="B42" s="23" t="s">
        <v>37</v>
      </c>
      <c r="C42" s="17" t="s">
        <v>40</v>
      </c>
      <c r="D42" s="17"/>
      <c r="E42" s="7"/>
      <c r="F42" s="7"/>
      <c r="G42" s="7"/>
    </row>
    <row r="43" spans="1:7" ht="44.25" customHeight="1" x14ac:dyDescent="0.25">
      <c r="A43" s="7"/>
      <c r="B43" s="23" t="s">
        <v>37</v>
      </c>
      <c r="C43" s="17" t="s">
        <v>41</v>
      </c>
      <c r="D43" s="17"/>
      <c r="E43" s="7"/>
      <c r="F43" s="7"/>
      <c r="G43" s="7"/>
    </row>
    <row r="44" spans="1:7" ht="39.75" customHeight="1" x14ac:dyDescent="0.25">
      <c r="A44" s="7"/>
      <c r="B44" s="23" t="s">
        <v>37</v>
      </c>
      <c r="C44" s="17" t="s">
        <v>42</v>
      </c>
      <c r="D44" s="17"/>
      <c r="E44" s="7"/>
      <c r="F44" s="7"/>
      <c r="G44" s="7"/>
    </row>
    <row r="45" spans="1:7" ht="32.25" customHeight="1" x14ac:dyDescent="0.25">
      <c r="A45" s="7"/>
      <c r="B45" s="23" t="s">
        <v>37</v>
      </c>
      <c r="C45" s="17" t="s">
        <v>43</v>
      </c>
      <c r="D45" s="17"/>
      <c r="E45" s="7"/>
      <c r="F45" s="7"/>
      <c r="G45" s="7"/>
    </row>
    <row r="46" spans="1:7" ht="18" customHeight="1" x14ac:dyDescent="0.25">
      <c r="A46" s="7"/>
      <c r="B46" s="7"/>
      <c r="C46" s="7"/>
      <c r="D46" s="7"/>
      <c r="E46" s="7"/>
      <c r="F46" s="7"/>
      <c r="G46" s="7"/>
    </row>
    <row r="47" spans="1:7" ht="18" customHeight="1" x14ac:dyDescent="0.25">
      <c r="A47" s="7"/>
      <c r="B47" s="7"/>
      <c r="C47" s="7"/>
      <c r="D47" s="7"/>
      <c r="E47" s="7"/>
      <c r="F47" s="7"/>
      <c r="G47" s="7"/>
    </row>
    <row r="48" spans="1:7" ht="18" customHeight="1" x14ac:dyDescent="0.25">
      <c r="A48" s="7"/>
      <c r="B48" s="7"/>
      <c r="C48" s="7"/>
      <c r="D48" s="7"/>
      <c r="E48" s="7"/>
      <c r="F48" s="7"/>
      <c r="G48" s="7"/>
    </row>
    <row r="49" spans="1:7" ht="18" customHeight="1" x14ac:dyDescent="0.25">
      <c r="A49" s="7"/>
      <c r="B49" s="7"/>
      <c r="C49" s="7"/>
      <c r="D49" s="7"/>
      <c r="E49" s="7"/>
      <c r="F49" s="7"/>
      <c r="G49" s="7"/>
    </row>
    <row r="50" spans="1:7" ht="18" customHeight="1" x14ac:dyDescent="0.25">
      <c r="A50" s="7"/>
      <c r="B50" s="7"/>
      <c r="C50" s="7"/>
      <c r="D50" s="7"/>
      <c r="E50" s="7"/>
      <c r="F50" s="7"/>
      <c r="G50" s="7"/>
    </row>
    <row r="51" spans="1:7" ht="18" customHeight="1" x14ac:dyDescent="0.25">
      <c r="A51" s="7"/>
      <c r="B51" s="7"/>
      <c r="C51" s="7"/>
      <c r="D51" s="7"/>
      <c r="E51" s="7"/>
      <c r="F51" s="7"/>
      <c r="G51" s="7"/>
    </row>
    <row r="52" spans="1:7" ht="18" customHeight="1" x14ac:dyDescent="0.25">
      <c r="A52" s="7"/>
      <c r="B52" s="7"/>
      <c r="C52" s="7"/>
      <c r="D52" s="7"/>
      <c r="E52" s="7"/>
      <c r="F52" s="7"/>
      <c r="G52" s="7"/>
    </row>
    <row r="53" spans="1:7" ht="18" customHeight="1" x14ac:dyDescent="0.25">
      <c r="A53" s="7"/>
      <c r="B53" s="7"/>
      <c r="C53" s="7"/>
      <c r="D53" s="7"/>
      <c r="E53" s="7"/>
      <c r="F53" s="7"/>
      <c r="G53" s="7"/>
    </row>
    <row r="54" spans="1:7" ht="18" customHeight="1" x14ac:dyDescent="0.25">
      <c r="A54" s="7"/>
      <c r="B54" s="7"/>
      <c r="C54" s="7"/>
      <c r="D54" s="7"/>
      <c r="E54" s="7"/>
      <c r="F54" s="7"/>
      <c r="G54" s="7"/>
    </row>
    <row r="55" spans="1:7" ht="18" customHeight="1" x14ac:dyDescent="0.25">
      <c r="A55" s="7"/>
      <c r="B55" s="7"/>
      <c r="C55" s="7"/>
      <c r="D55" s="7"/>
      <c r="E55" s="7"/>
      <c r="F55" s="7"/>
      <c r="G55" s="7"/>
    </row>
    <row r="56" spans="1:7" ht="18" customHeight="1" x14ac:dyDescent="0.25">
      <c r="A56" s="7"/>
      <c r="B56" s="7"/>
      <c r="C56" s="7"/>
      <c r="D56" s="7"/>
      <c r="E56" s="7"/>
      <c r="F56" s="7"/>
      <c r="G56" s="7"/>
    </row>
    <row r="57" spans="1:7" ht="18" customHeight="1" x14ac:dyDescent="0.25">
      <c r="A57" s="7"/>
      <c r="B57" s="7"/>
      <c r="C57" s="7"/>
      <c r="D57" s="7"/>
      <c r="E57" s="7"/>
      <c r="F57" s="7"/>
      <c r="G57" s="7"/>
    </row>
    <row r="58" spans="1:7" ht="15.75" customHeight="1" x14ac:dyDescent="0.25">
      <c r="A58" s="7"/>
      <c r="B58" s="24" t="s">
        <v>44</v>
      </c>
      <c r="C58" s="24"/>
      <c r="D58" s="7"/>
      <c r="E58" s="7"/>
      <c r="F58" s="7"/>
      <c r="G58" s="7"/>
    </row>
    <row r="59" spans="1:7" ht="18" customHeight="1" x14ac:dyDescent="0.25">
      <c r="A59" s="7"/>
      <c r="B59" s="7"/>
      <c r="C59" s="7"/>
      <c r="D59" s="7"/>
      <c r="E59" s="7"/>
      <c r="F59" s="7"/>
      <c r="G59" s="7"/>
    </row>
  </sheetData>
  <sheetProtection algorithmName="SHA-512" hashValue="wyxaA/tSxY4k28aHnF7QfrTW4IFGYp9QPyQx9u9AK/y8sfaAqelXCAap9K5mWMoU5GwuIAPXoyf0wudA4dPdAw==" saltValue="GXecVIcVtPNOkZPXDqB3QA==" spinCount="100000" sheet="1" objects="1" scenarios="1"/>
  <mergeCells count="20">
    <mergeCell ref="C42:D42"/>
    <mergeCell ref="C43:D43"/>
    <mergeCell ref="C44:D44"/>
    <mergeCell ref="C45:D45"/>
    <mergeCell ref="B58:C58"/>
    <mergeCell ref="C36:D36"/>
    <mergeCell ref="C37:D37"/>
    <mergeCell ref="B39:C39"/>
    <mergeCell ref="C40:D40"/>
    <mergeCell ref="C41:D41"/>
    <mergeCell ref="B22:C22"/>
    <mergeCell ref="B32:C32"/>
    <mergeCell ref="C33:D33"/>
    <mergeCell ref="C34:D34"/>
    <mergeCell ref="C35:D35"/>
    <mergeCell ref="B2:C3"/>
    <mergeCell ref="B4:C5"/>
    <mergeCell ref="B8:C9"/>
    <mergeCell ref="B10:C10"/>
    <mergeCell ref="B11:C1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4F72"/>
  </sheetPr>
  <dimension ref="A1:C33"/>
  <sheetViews>
    <sheetView zoomScaleNormal="100" workbookViewId="0">
      <pane ySplit="2" topLeftCell="A15" activePane="bottomLeft" state="frozen"/>
      <selection pane="bottomLeft" activeCell="A33" sqref="A33:C33"/>
    </sheetView>
  </sheetViews>
  <sheetFormatPr defaultColWidth="8.7109375" defaultRowHeight="15" x14ac:dyDescent="0.25"/>
  <cols>
    <col min="1" max="1" width="40" style="6" customWidth="1"/>
    <col min="2" max="2" width="20" style="6" customWidth="1"/>
    <col min="3" max="3" width="48.5703125" style="6" customWidth="1"/>
    <col min="4" max="16384" width="8.7109375" style="6"/>
  </cols>
  <sheetData>
    <row r="1" spans="1:3" ht="30" customHeight="1" x14ac:dyDescent="0.25">
      <c r="A1" s="32" t="s">
        <v>45</v>
      </c>
      <c r="B1" s="32"/>
      <c r="C1" s="32"/>
    </row>
    <row r="2" spans="1:3" ht="15" customHeight="1" x14ac:dyDescent="0.25">
      <c r="A2" s="33" t="s">
        <v>46</v>
      </c>
      <c r="B2" s="33"/>
      <c r="C2" s="33"/>
    </row>
    <row r="3" spans="1:3" ht="21.75" customHeight="1" x14ac:dyDescent="0.25">
      <c r="A3" s="34" t="s">
        <v>47</v>
      </c>
      <c r="B3" s="34"/>
      <c r="C3" s="34"/>
    </row>
    <row r="4" spans="1:3" ht="19.5" customHeight="1" x14ac:dyDescent="0.25">
      <c r="A4" s="35" t="s">
        <v>48</v>
      </c>
      <c r="B4" s="35" t="s">
        <v>49</v>
      </c>
      <c r="C4" s="35" t="s">
        <v>50</v>
      </c>
    </row>
    <row r="5" spans="1:3" ht="18.75" customHeight="1" x14ac:dyDescent="0.25">
      <c r="A5" s="36" t="s">
        <v>51</v>
      </c>
      <c r="B5" s="37">
        <v>36000000</v>
      </c>
      <c r="C5" s="38" t="s">
        <v>52</v>
      </c>
    </row>
    <row r="6" spans="1:3" ht="18.75" customHeight="1" x14ac:dyDescent="0.25">
      <c r="A6" s="36" t="s">
        <v>53</v>
      </c>
      <c r="B6" s="37">
        <v>25200000</v>
      </c>
      <c r="C6" s="38" t="s">
        <v>54</v>
      </c>
    </row>
    <row r="7" spans="1:3" ht="15" customHeight="1" x14ac:dyDescent="0.25">
      <c r="A7" s="36" t="s">
        <v>55</v>
      </c>
      <c r="B7" s="39">
        <f>B5-B6</f>
        <v>10800000</v>
      </c>
      <c r="C7" s="38" t="s">
        <v>56</v>
      </c>
    </row>
    <row r="8" spans="1:3" ht="18.75" customHeight="1" x14ac:dyDescent="0.25">
      <c r="A8" s="36" t="s">
        <v>57</v>
      </c>
      <c r="B8" s="37">
        <v>5400000</v>
      </c>
      <c r="C8" s="38" t="s">
        <v>58</v>
      </c>
    </row>
    <row r="9" spans="1:3" ht="15" customHeight="1" x14ac:dyDescent="0.25">
      <c r="A9" s="36" t="s">
        <v>59</v>
      </c>
      <c r="B9" s="39">
        <f>B7-B8</f>
        <v>5400000</v>
      </c>
      <c r="C9" s="38" t="s">
        <v>56</v>
      </c>
    </row>
    <row r="10" spans="1:3" ht="15" customHeight="1" x14ac:dyDescent="0.25">
      <c r="A10" s="36" t="s">
        <v>60</v>
      </c>
      <c r="B10" s="37">
        <v>540000</v>
      </c>
      <c r="C10" s="38" t="s">
        <v>61</v>
      </c>
    </row>
    <row r="11" spans="1:3" ht="15" customHeight="1" x14ac:dyDescent="0.25">
      <c r="A11" s="36" t="s">
        <v>62</v>
      </c>
      <c r="B11" s="37">
        <v>720000</v>
      </c>
      <c r="C11" s="38" t="s">
        <v>63</v>
      </c>
    </row>
    <row r="12" spans="1:3" ht="15" customHeight="1" x14ac:dyDescent="0.25">
      <c r="A12" s="36" t="s">
        <v>64</v>
      </c>
      <c r="B12" s="39">
        <f>B9-B10-B11</f>
        <v>4140000</v>
      </c>
      <c r="C12" s="38" t="s">
        <v>56</v>
      </c>
    </row>
    <row r="14" spans="1:3" ht="21.75" customHeight="1" x14ac:dyDescent="0.25">
      <c r="A14" s="40" t="s">
        <v>65</v>
      </c>
      <c r="B14" s="40"/>
      <c r="C14" s="40"/>
    </row>
    <row r="15" spans="1:3" ht="19.5" customHeight="1" x14ac:dyDescent="0.25">
      <c r="A15" s="35" t="s">
        <v>48</v>
      </c>
      <c r="B15" s="35" t="s">
        <v>49</v>
      </c>
      <c r="C15" s="35" t="s">
        <v>50</v>
      </c>
    </row>
    <row r="16" spans="1:3" ht="18.75" customHeight="1" x14ac:dyDescent="0.25">
      <c r="A16" s="36" t="s">
        <v>66</v>
      </c>
      <c r="B16" s="37">
        <v>4500000</v>
      </c>
      <c r="C16" s="38" t="s">
        <v>67</v>
      </c>
    </row>
    <row r="17" spans="1:3" ht="15" customHeight="1" x14ac:dyDescent="0.25">
      <c r="A17" s="36" t="s">
        <v>68</v>
      </c>
      <c r="B17" s="37">
        <v>3500000</v>
      </c>
      <c r="C17" s="38" t="s">
        <v>69</v>
      </c>
    </row>
    <row r="18" spans="1:3" ht="18.75" customHeight="1" x14ac:dyDescent="0.25">
      <c r="A18" s="36" t="s">
        <v>70</v>
      </c>
      <c r="B18" s="37">
        <v>350000</v>
      </c>
      <c r="C18" s="38" t="s">
        <v>71</v>
      </c>
    </row>
    <row r="19" spans="1:3" ht="15" customHeight="1" x14ac:dyDescent="0.25">
      <c r="A19" s="36" t="s">
        <v>72</v>
      </c>
      <c r="B19" s="37">
        <v>800000</v>
      </c>
      <c r="C19" s="38" t="s">
        <v>73</v>
      </c>
    </row>
    <row r="20" spans="1:3" ht="18.75" customHeight="1" x14ac:dyDescent="0.25">
      <c r="A20" s="36" t="s">
        <v>74</v>
      </c>
      <c r="B20" s="37">
        <v>2100000</v>
      </c>
      <c r="C20" s="38" t="s">
        <v>75</v>
      </c>
    </row>
    <row r="21" spans="1:3" ht="18.75" customHeight="1" x14ac:dyDescent="0.25">
      <c r="A21" s="36" t="s">
        <v>76</v>
      </c>
      <c r="B21" s="37">
        <v>200000</v>
      </c>
      <c r="C21" s="38" t="s">
        <v>77</v>
      </c>
    </row>
    <row r="22" spans="1:3" ht="18.75" customHeight="1" x14ac:dyDescent="0.25">
      <c r="A22" s="36" t="s">
        <v>78</v>
      </c>
      <c r="B22" s="37">
        <v>2500000</v>
      </c>
      <c r="C22" s="38" t="s">
        <v>79</v>
      </c>
    </row>
    <row r="24" spans="1:3" ht="21.75" customHeight="1" x14ac:dyDescent="0.25">
      <c r="A24" s="41" t="s">
        <v>80</v>
      </c>
      <c r="B24" s="41"/>
      <c r="C24" s="41"/>
    </row>
    <row r="25" spans="1:3" ht="19.5" customHeight="1" x14ac:dyDescent="0.25">
      <c r="A25" s="35" t="s">
        <v>81</v>
      </c>
      <c r="B25" s="35" t="s">
        <v>82</v>
      </c>
      <c r="C25" s="35" t="s">
        <v>50</v>
      </c>
    </row>
    <row r="26" spans="1:3" ht="18.75" customHeight="1" x14ac:dyDescent="0.25">
      <c r="A26" s="36" t="s">
        <v>83</v>
      </c>
      <c r="B26" s="42">
        <v>0.18</v>
      </c>
      <c r="C26" s="38" t="s">
        <v>84</v>
      </c>
    </row>
    <row r="27" spans="1:3" ht="18.75" customHeight="1" x14ac:dyDescent="0.25">
      <c r="A27" s="36" t="s">
        <v>85</v>
      </c>
      <c r="B27" s="43">
        <v>1500000</v>
      </c>
      <c r="C27" s="38" t="s">
        <v>86</v>
      </c>
    </row>
    <row r="28" spans="1:3" ht="18.75" customHeight="1" x14ac:dyDescent="0.25">
      <c r="A28" s="36" t="s">
        <v>87</v>
      </c>
      <c r="B28" s="42">
        <v>0.15</v>
      </c>
      <c r="C28" s="38" t="s">
        <v>88</v>
      </c>
    </row>
    <row r="29" spans="1:3" ht="18.75" customHeight="1" x14ac:dyDescent="0.25">
      <c r="A29" s="36" t="s">
        <v>89</v>
      </c>
      <c r="B29" s="42">
        <v>0.105</v>
      </c>
      <c r="C29" s="38" t="s">
        <v>90</v>
      </c>
    </row>
    <row r="30" spans="1:3" ht="15" customHeight="1" x14ac:dyDescent="0.25">
      <c r="A30" s="36" t="s">
        <v>91</v>
      </c>
      <c r="B30" s="42">
        <v>0.75</v>
      </c>
      <c r="C30" s="38" t="s">
        <v>92</v>
      </c>
    </row>
    <row r="31" spans="1:3" ht="18.75" customHeight="1" x14ac:dyDescent="0.25">
      <c r="A31" s="36" t="s">
        <v>93</v>
      </c>
      <c r="B31" s="43">
        <v>365</v>
      </c>
      <c r="C31" s="38" t="s">
        <v>94</v>
      </c>
    </row>
    <row r="33" spans="1:3" ht="33.75" customHeight="1" x14ac:dyDescent="0.25">
      <c r="A33" s="44" t="s">
        <v>95</v>
      </c>
      <c r="B33" s="44"/>
      <c r="C33" s="44"/>
    </row>
  </sheetData>
  <mergeCells count="6">
    <mergeCell ref="A33:C33"/>
    <mergeCell ref="A1:C1"/>
    <mergeCell ref="A2:C2"/>
    <mergeCell ref="A3:C3"/>
    <mergeCell ref="A14:C14"/>
    <mergeCell ref="A24:C2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7A65"/>
  </sheetPr>
  <dimension ref="A1:D17"/>
  <sheetViews>
    <sheetView zoomScaleNormal="100" workbookViewId="0">
      <pane ySplit="2" topLeftCell="A3" activePane="bottomLeft" state="frozen"/>
      <selection pane="bottomLeft" activeCell="B13" sqref="B13"/>
    </sheetView>
  </sheetViews>
  <sheetFormatPr defaultColWidth="8.7109375" defaultRowHeight="15" x14ac:dyDescent="0.25"/>
  <cols>
    <col min="1" max="1" width="38" style="6" customWidth="1"/>
    <col min="2" max="3" width="18" style="6" customWidth="1"/>
    <col min="4" max="4" width="46.85546875" style="6" customWidth="1"/>
    <col min="5" max="16384" width="8.7109375" style="6"/>
  </cols>
  <sheetData>
    <row r="1" spans="1:4" ht="30" customHeight="1" x14ac:dyDescent="0.25">
      <c r="A1" s="32" t="s">
        <v>96</v>
      </c>
      <c r="B1" s="32"/>
      <c r="C1" s="32"/>
      <c r="D1" s="32"/>
    </row>
    <row r="2" spans="1:4" ht="15" customHeight="1" x14ac:dyDescent="0.25">
      <c r="A2" s="33" t="s">
        <v>97</v>
      </c>
      <c r="B2" s="33"/>
      <c r="C2" s="33"/>
      <c r="D2" s="33"/>
    </row>
    <row r="3" spans="1:4" ht="21.75" customHeight="1" x14ac:dyDescent="0.25">
      <c r="A3" s="34" t="s">
        <v>98</v>
      </c>
      <c r="B3" s="34"/>
      <c r="C3" s="34"/>
      <c r="D3" s="34"/>
    </row>
    <row r="4" spans="1:4" ht="19.5" customHeight="1" x14ac:dyDescent="0.25">
      <c r="A4" s="45" t="s">
        <v>99</v>
      </c>
      <c r="B4" s="45"/>
      <c r="C4" s="45"/>
      <c r="D4" s="45"/>
    </row>
    <row r="5" spans="1:4" ht="19.5" customHeight="1" x14ac:dyDescent="0.25">
      <c r="A5" s="46" t="s">
        <v>100</v>
      </c>
      <c r="B5" s="35" t="s">
        <v>101</v>
      </c>
      <c r="C5" s="35" t="s">
        <v>102</v>
      </c>
      <c r="D5" s="35" t="s">
        <v>103</v>
      </c>
    </row>
    <row r="6" spans="1:4" ht="21.75" customHeight="1" x14ac:dyDescent="0.25">
      <c r="A6" s="47" t="s">
        <v>104</v>
      </c>
      <c r="B6" s="48">
        <f>IFERROR(ROUND(('📥 INPUTS'!B16/(1+'📥 INPUTS'!B26))*'📥 INPUTS'!B31/'📥 INPUTS'!B5,1),0)</f>
        <v>38.700000000000003</v>
      </c>
      <c r="C6" s="39">
        <f>IFERROR(('📥 INPUTS'!B16/(1+'📥 INPUTS'!B26)),0)</f>
        <v>3813559.3220338984</v>
      </c>
      <c r="D6" s="49" t="str">
        <f>IF(B6&lt;=30,"🟢 Excellent — under 30 days",IF(B6&lt;=45,"🟢 Good — within 45 days",IF(B6&lt;=60,"🟡 Acceptable — monitor closely","🔴 High — collections need improvement")))</f>
        <v>🟢 Good — within 45 days</v>
      </c>
    </row>
    <row r="7" spans="1:4" ht="21.75" customHeight="1" x14ac:dyDescent="0.25">
      <c r="A7" s="47" t="s">
        <v>105</v>
      </c>
      <c r="B7" s="48">
        <f>IFERROR(ROUND('📥 INPUTS'!B17*'📥 INPUTS'!B31/'📥 INPUTS'!B6,1),0)</f>
        <v>50.7</v>
      </c>
      <c r="C7" s="39">
        <f>IFERROR('📥 INPUTS'!B17,0)</f>
        <v>3500000</v>
      </c>
      <c r="D7" s="49" t="str">
        <f>IF(B7&lt;=30,"🟢 Low inventory holding",IF(B7&lt;=60,"🟡 Moderate — review reorder levels","🔴 High — capital tied up in stock"))</f>
        <v>🟡 Moderate — review reorder levels</v>
      </c>
    </row>
    <row r="8" spans="1:4" ht="19.5" customHeight="1" x14ac:dyDescent="0.25">
      <c r="A8" s="36" t="s">
        <v>106</v>
      </c>
      <c r="B8" s="50">
        <f>IFERROR(ROUND('📥 INPUTS'!B18*'📥 INPUTS'!B31/'📥 INPUTS'!B6,1),0)</f>
        <v>5.0999999999999996</v>
      </c>
      <c r="C8" s="39">
        <f>IFERROR('📥 INPUTS'!B18,0)</f>
        <v>350000</v>
      </c>
      <c r="D8" s="38" t="s">
        <v>107</v>
      </c>
    </row>
    <row r="9" spans="1:4" ht="21.75" customHeight="1" x14ac:dyDescent="0.25">
      <c r="A9" s="51" t="s">
        <v>108</v>
      </c>
      <c r="B9" s="52">
        <f>B6+B7+B8</f>
        <v>94.5</v>
      </c>
      <c r="C9" s="53">
        <f>C6+C7+C8</f>
        <v>7663559.3220338989</v>
      </c>
      <c r="D9" s="38" t="s">
        <v>109</v>
      </c>
    </row>
    <row r="11" spans="1:4" ht="21.75" customHeight="1" x14ac:dyDescent="0.25">
      <c r="A11" s="54" t="s">
        <v>110</v>
      </c>
      <c r="B11" s="55">
        <f>IFERROR(ROUND('📥 INPUTS'!B20*'📥 INPUTS'!B31/'📥 INPUTS'!B6,1),0)</f>
        <v>30.4</v>
      </c>
      <c r="C11" s="39">
        <f>IFERROR('📥 INPUTS'!B20,0)</f>
        <v>2100000</v>
      </c>
      <c r="D11" s="49" t="str">
        <f>IF(B11&gt;=45,"🟢 Good supplier terms",IF(B11&gt;=30,"🟡 Standard — try to extend","🔴 Short credit — negotiate longer terms"))</f>
        <v>🟡 Standard — try to extend</v>
      </c>
    </row>
    <row r="12" spans="1:4" ht="19.5" customHeight="1" x14ac:dyDescent="0.25">
      <c r="A12" s="36" t="s">
        <v>111</v>
      </c>
      <c r="B12" s="50">
        <f>IFERROR(ROUND('📥 INPUTS'!B21*'📥 INPUTS'!B31/'📥 INPUTS'!B5,1),0)</f>
        <v>2</v>
      </c>
      <c r="C12" s="39">
        <f>IFERROR('📥 INPUTS'!B21,0)</f>
        <v>200000</v>
      </c>
      <c r="D12" s="38" t="s">
        <v>112</v>
      </c>
    </row>
    <row r="13" spans="1:4" ht="21.75" customHeight="1" x14ac:dyDescent="0.25">
      <c r="A13" s="56" t="s">
        <v>113</v>
      </c>
      <c r="B13" s="57">
        <f>B11+B12</f>
        <v>32.4</v>
      </c>
      <c r="C13" s="58">
        <f>C11+C12</f>
        <v>2300000</v>
      </c>
      <c r="D13" s="38" t="s">
        <v>114</v>
      </c>
    </row>
    <row r="15" spans="1:4" ht="25.5" customHeight="1" x14ac:dyDescent="0.25">
      <c r="A15" s="59" t="s">
        <v>115</v>
      </c>
      <c r="B15" s="60">
        <f>B9-B13</f>
        <v>62.1</v>
      </c>
      <c r="C15" s="61">
        <f>C9-C13</f>
        <v>5363559.3220338989</v>
      </c>
      <c r="D15" s="47" t="str">
        <f>IF(B15&lt;=30,"🟢 Efficient cycle — low WC need",IF(B15&lt;=60,"🟡 Moderate — room to improve",IF(B15&lt;=90,"🟠 High — significant WC tied up","🔴 Very high — urgent WC action needed")))</f>
        <v>🟠 High — significant WC tied up</v>
      </c>
    </row>
    <row r="17" spans="1:4" ht="41.25" customHeight="1" x14ac:dyDescent="0.25">
      <c r="A17" s="44" t="s">
        <v>116</v>
      </c>
      <c r="B17" s="44"/>
      <c r="C17" s="44"/>
      <c r="D17" s="44"/>
    </row>
  </sheetData>
  <mergeCells count="5">
    <mergeCell ref="A1:D1"/>
    <mergeCell ref="A2:D2"/>
    <mergeCell ref="A3:D3"/>
    <mergeCell ref="A4:D4"/>
    <mergeCell ref="A17:D17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4AC0D"/>
  </sheetPr>
  <dimension ref="A1:C25"/>
  <sheetViews>
    <sheetView tabSelected="1"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42" style="6" customWidth="1"/>
    <col min="2" max="2" width="20" style="6" customWidth="1"/>
    <col min="3" max="3" width="51.28515625" style="6" customWidth="1"/>
    <col min="4" max="16384" width="8.7109375" style="6"/>
  </cols>
  <sheetData>
    <row r="1" spans="1:3" ht="30" customHeight="1" x14ac:dyDescent="0.25">
      <c r="A1" s="32" t="s">
        <v>117</v>
      </c>
      <c r="B1" s="32"/>
      <c r="C1" s="32"/>
    </row>
    <row r="2" spans="1:3" ht="31.5" customHeight="1" x14ac:dyDescent="0.25">
      <c r="A2" s="33" t="s">
        <v>118</v>
      </c>
      <c r="B2" s="33"/>
      <c r="C2" s="33"/>
    </row>
    <row r="3" spans="1:3" ht="21.75" customHeight="1" x14ac:dyDescent="0.25">
      <c r="A3" s="34" t="s">
        <v>119</v>
      </c>
      <c r="B3" s="34"/>
      <c r="C3" s="34"/>
    </row>
    <row r="4" spans="1:3" ht="19.5" customHeight="1" x14ac:dyDescent="0.25">
      <c r="A4" s="46" t="s">
        <v>120</v>
      </c>
      <c r="B4" s="35" t="s">
        <v>49</v>
      </c>
      <c r="C4" s="35" t="s">
        <v>50</v>
      </c>
    </row>
    <row r="5" spans="1:3" ht="15" customHeight="1" x14ac:dyDescent="0.25">
      <c r="A5" s="62" t="s">
        <v>121</v>
      </c>
      <c r="B5" s="39">
        <f>IFERROR('📥 INPUTS'!B16/(1+'📥 INPUTS'!B26),0)</f>
        <v>3813559.3220338984</v>
      </c>
      <c r="C5" s="38" t="s">
        <v>122</v>
      </c>
    </row>
    <row r="6" spans="1:3" ht="15" customHeight="1" x14ac:dyDescent="0.25">
      <c r="A6" s="62" t="s">
        <v>123</v>
      </c>
      <c r="B6" s="39">
        <f>IFERROR('📥 INPUTS'!B17,0)</f>
        <v>3500000</v>
      </c>
      <c r="C6" s="38" t="s">
        <v>124</v>
      </c>
    </row>
    <row r="7" spans="1:3" ht="15" customHeight="1" x14ac:dyDescent="0.25">
      <c r="A7" s="62" t="s">
        <v>125</v>
      </c>
      <c r="B7" s="39">
        <f>IFERROR('📥 INPUTS'!B18,0)</f>
        <v>350000</v>
      </c>
      <c r="C7" s="38" t="s">
        <v>126</v>
      </c>
    </row>
    <row r="8" spans="1:3" ht="18.75" customHeight="1" x14ac:dyDescent="0.25">
      <c r="A8" s="63" t="s">
        <v>127</v>
      </c>
      <c r="B8" s="53">
        <f>B5+B6+B7</f>
        <v>7663559.3220338989</v>
      </c>
      <c r="C8" s="38" t="s">
        <v>128</v>
      </c>
    </row>
    <row r="10" spans="1:3" ht="21.75" customHeight="1" x14ac:dyDescent="0.25">
      <c r="A10" s="40" t="s">
        <v>129</v>
      </c>
      <c r="B10" s="40"/>
      <c r="C10" s="40"/>
    </row>
    <row r="11" spans="1:3" ht="19.5" customHeight="1" x14ac:dyDescent="0.25">
      <c r="A11" s="46" t="s">
        <v>120</v>
      </c>
      <c r="B11" s="35" t="s">
        <v>49</v>
      </c>
      <c r="C11" s="35" t="s">
        <v>50</v>
      </c>
    </row>
    <row r="12" spans="1:3" ht="18.75" customHeight="1" x14ac:dyDescent="0.25">
      <c r="A12" s="64" t="s">
        <v>130</v>
      </c>
      <c r="B12" s="39">
        <f>IFERROR('📥 INPUTS'!B20,0)</f>
        <v>2100000</v>
      </c>
      <c r="C12" s="38" t="s">
        <v>131</v>
      </c>
    </row>
    <row r="13" spans="1:3" ht="18.75" customHeight="1" x14ac:dyDescent="0.25">
      <c r="A13" s="64" t="s">
        <v>76</v>
      </c>
      <c r="B13" s="39">
        <f>IFERROR('📥 INPUTS'!B21,0)</f>
        <v>200000</v>
      </c>
      <c r="C13" s="38" t="s">
        <v>132</v>
      </c>
    </row>
    <row r="14" spans="1:3" ht="18.75" customHeight="1" x14ac:dyDescent="0.25">
      <c r="A14" s="56" t="s">
        <v>133</v>
      </c>
      <c r="B14" s="58">
        <f>B12+B13</f>
        <v>2300000</v>
      </c>
      <c r="C14" s="38" t="s">
        <v>134</v>
      </c>
    </row>
    <row r="16" spans="1:3" ht="25.5" customHeight="1" x14ac:dyDescent="0.25">
      <c r="A16" s="65" t="s">
        <v>135</v>
      </c>
      <c r="B16" s="66">
        <f>B8-B14</f>
        <v>5363559.3220338989</v>
      </c>
      <c r="C16" s="38" t="s">
        <v>136</v>
      </c>
    </row>
    <row r="18" spans="1:3" ht="21.75" customHeight="1" x14ac:dyDescent="0.25">
      <c r="A18" s="41" t="s">
        <v>137</v>
      </c>
      <c r="B18" s="41"/>
      <c r="C18" s="41"/>
    </row>
    <row r="19" spans="1:3" ht="19.5" customHeight="1" x14ac:dyDescent="0.25">
      <c r="A19" s="46" t="s">
        <v>120</v>
      </c>
      <c r="B19" s="35" t="s">
        <v>49</v>
      </c>
      <c r="C19" s="35" t="s">
        <v>50</v>
      </c>
    </row>
    <row r="20" spans="1:3" ht="15" customHeight="1" x14ac:dyDescent="0.25">
      <c r="A20" s="67" t="s">
        <v>138</v>
      </c>
      <c r="B20" s="39">
        <f>IFERROR('📥 INPUTS'!B27,0)</f>
        <v>1500000</v>
      </c>
      <c r="C20" s="38" t="s">
        <v>139</v>
      </c>
    </row>
    <row r="21" spans="1:3" ht="18.75" customHeight="1" x14ac:dyDescent="0.25">
      <c r="A21" s="47" t="s">
        <v>140</v>
      </c>
      <c r="B21" s="68">
        <f>MAX(0,B16-B20)</f>
        <v>3863559.3220338989</v>
      </c>
      <c r="C21" s="38" t="s">
        <v>141</v>
      </c>
    </row>
    <row r="22" spans="1:3" ht="18.75" customHeight="1" x14ac:dyDescent="0.25">
      <c r="A22" s="38" t="s">
        <v>142</v>
      </c>
      <c r="B22" s="69">
        <f>IFERROR(B16/'📥 INPUTS'!B5,0)</f>
        <v>0.14898775894538607</v>
      </c>
      <c r="C22" s="38" t="s">
        <v>143</v>
      </c>
    </row>
    <row r="23" spans="1:3" ht="18.75" customHeight="1" x14ac:dyDescent="0.25">
      <c r="A23" s="38" t="s">
        <v>144</v>
      </c>
      <c r="B23" s="50">
        <f>IFERROR(B16/('📥 INPUTS'!B5/12),0)</f>
        <v>1.7878531073446329</v>
      </c>
      <c r="C23" s="38" t="s">
        <v>145</v>
      </c>
    </row>
    <row r="25" spans="1:3" ht="39.75" customHeight="1" x14ac:dyDescent="0.25">
      <c r="A25" s="44" t="s">
        <v>146</v>
      </c>
      <c r="B25" s="44"/>
      <c r="C25" s="44"/>
    </row>
  </sheetData>
  <sheetProtection algorithmName="SHA-512" hashValue="KXBzFzLkF9l0EqTE85tNf4RaUysQEXQ+H4wrtkcpU0yU16nBKGKhver9PhK/S2Jg1aFoxfWmsawAiJYrG5Gyhw==" saltValue="m7i4pixsZdc7EYLHZASkzw==" spinCount="100000" sheet="1" objects="1" scenarios="1"/>
  <mergeCells count="6">
    <mergeCell ref="A25:C25"/>
    <mergeCell ref="A1:C1"/>
    <mergeCell ref="A2:C2"/>
    <mergeCell ref="A3:C3"/>
    <mergeCell ref="A10:C10"/>
    <mergeCell ref="A18:C18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04000"/>
  </sheetPr>
  <dimension ref="A1:E20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40" style="6" customWidth="1"/>
    <col min="2" max="4" width="16" style="6" customWidth="1"/>
    <col min="5" max="5" width="44.85546875" style="6" customWidth="1"/>
    <col min="6" max="16384" width="8.7109375" style="6"/>
  </cols>
  <sheetData>
    <row r="1" spans="1:5" ht="30" customHeight="1" x14ac:dyDescent="0.25">
      <c r="A1" s="32" t="s">
        <v>147</v>
      </c>
      <c r="B1" s="32"/>
      <c r="C1" s="32"/>
      <c r="D1" s="32"/>
      <c r="E1" s="32"/>
    </row>
    <row r="2" spans="1:5" ht="15" customHeight="1" x14ac:dyDescent="0.25">
      <c r="A2" s="33" t="s">
        <v>148</v>
      </c>
      <c r="B2" s="33"/>
      <c r="C2" s="33"/>
      <c r="D2" s="33"/>
      <c r="E2" s="33"/>
    </row>
    <row r="3" spans="1:5" ht="21.75" customHeight="1" x14ac:dyDescent="0.25">
      <c r="A3" s="34" t="s">
        <v>149</v>
      </c>
      <c r="B3" s="34"/>
      <c r="C3" s="34"/>
      <c r="D3" s="34"/>
      <c r="E3" s="34"/>
    </row>
    <row r="4" spans="1:5" ht="19.5" customHeight="1" x14ac:dyDescent="0.25">
      <c r="A4" s="46" t="s">
        <v>150</v>
      </c>
      <c r="B4" s="35" t="s">
        <v>101</v>
      </c>
      <c r="C4" s="35" t="s">
        <v>151</v>
      </c>
      <c r="D4" s="45"/>
      <c r="E4" s="45"/>
    </row>
    <row r="5" spans="1:5" ht="15" customHeight="1" x14ac:dyDescent="0.25">
      <c r="A5" s="36" t="s">
        <v>104</v>
      </c>
      <c r="B5" s="70">
        <f>'📊 OPERATING CYCLE'!B6</f>
        <v>38.700000000000003</v>
      </c>
      <c r="C5" s="39">
        <f>'📊 OPERATING CYCLE'!C6</f>
        <v>3813559.3220338984</v>
      </c>
      <c r="D5" s="71"/>
      <c r="E5" s="71"/>
    </row>
    <row r="6" spans="1:5" ht="15" customHeight="1" x14ac:dyDescent="0.25">
      <c r="A6" s="36" t="s">
        <v>105</v>
      </c>
      <c r="B6" s="70">
        <f>'📊 OPERATING CYCLE'!B7</f>
        <v>50.7</v>
      </c>
      <c r="C6" s="39">
        <f>'📊 OPERATING CYCLE'!C7</f>
        <v>3500000</v>
      </c>
      <c r="D6" s="71"/>
      <c r="E6" s="71"/>
    </row>
    <row r="7" spans="1:5" ht="15" customHeight="1" x14ac:dyDescent="0.25">
      <c r="A7" s="36" t="s">
        <v>152</v>
      </c>
      <c r="B7" s="70">
        <f>'📊 OPERATING CYCLE'!B11</f>
        <v>30.4</v>
      </c>
      <c r="C7" s="39">
        <f>'📊 OPERATING CYCLE'!C11</f>
        <v>2100000</v>
      </c>
      <c r="D7" s="71"/>
      <c r="E7" s="71"/>
    </row>
    <row r="8" spans="1:5" ht="15" customHeight="1" x14ac:dyDescent="0.25">
      <c r="A8" s="36" t="s">
        <v>153</v>
      </c>
      <c r="B8" s="70">
        <f>'📊 OPERATING CYCLE'!B15</f>
        <v>62.1</v>
      </c>
      <c r="C8" s="39">
        <f>'📊 OPERATING CYCLE'!C15</f>
        <v>5363559.3220338989</v>
      </c>
      <c r="D8" s="71"/>
      <c r="E8" s="71"/>
    </row>
    <row r="9" spans="1:5" ht="15" customHeight="1" x14ac:dyDescent="0.25">
      <c r="A9" s="36" t="s">
        <v>154</v>
      </c>
      <c r="B9" s="72" t="s">
        <v>155</v>
      </c>
      <c r="C9" s="39">
        <f>'💰 WC GAP'!B16</f>
        <v>5363559.3220338989</v>
      </c>
      <c r="D9" s="71"/>
      <c r="E9" s="71"/>
    </row>
    <row r="11" spans="1:5" ht="21.75" customHeight="1" x14ac:dyDescent="0.25">
      <c r="A11" s="41" t="s">
        <v>156</v>
      </c>
      <c r="B11" s="41"/>
      <c r="C11" s="41"/>
      <c r="D11" s="41"/>
      <c r="E11" s="41"/>
    </row>
    <row r="12" spans="1:5" ht="21.75" customHeight="1" x14ac:dyDescent="0.25">
      <c r="A12" s="46" t="s">
        <v>157</v>
      </c>
      <c r="B12" s="35" t="s">
        <v>158</v>
      </c>
      <c r="C12" s="35" t="s">
        <v>159</v>
      </c>
      <c r="D12" s="35" t="s">
        <v>160</v>
      </c>
      <c r="E12" s="35" t="s">
        <v>161</v>
      </c>
    </row>
    <row r="13" spans="1:5" ht="21.75" customHeight="1" x14ac:dyDescent="0.25">
      <c r="A13" s="36" t="s">
        <v>162</v>
      </c>
      <c r="B13" s="73">
        <v>10</v>
      </c>
      <c r="C13" s="70">
        <f>'📊 OPERATING CYCLE'!B6-B13</f>
        <v>28.700000000000003</v>
      </c>
      <c r="D13" s="74">
        <f>IFERROR(B13*'📥 INPUTS'!B5/'📥 INPUTS'!B31,0)</f>
        <v>986301.36986301374</v>
      </c>
      <c r="E13" s="38" t="s">
        <v>163</v>
      </c>
    </row>
    <row r="14" spans="1:5" ht="21.75" customHeight="1" x14ac:dyDescent="0.25">
      <c r="A14" s="36" t="s">
        <v>164</v>
      </c>
      <c r="B14" s="73">
        <v>10</v>
      </c>
      <c r="C14" s="70">
        <f>'📊 OPERATING CYCLE'!B7-B14</f>
        <v>40.700000000000003</v>
      </c>
      <c r="D14" s="74">
        <f>IFERROR(B14*'📥 INPUTS'!B6/'📥 INPUTS'!B31,0)</f>
        <v>690410.95890410955</v>
      </c>
      <c r="E14" s="38" t="s">
        <v>165</v>
      </c>
    </row>
    <row r="15" spans="1:5" ht="21.75" customHeight="1" x14ac:dyDescent="0.25">
      <c r="A15" s="36" t="s">
        <v>166</v>
      </c>
      <c r="B15" s="73">
        <v>10</v>
      </c>
      <c r="C15" s="70">
        <f>'📊 OPERATING CYCLE'!B11+B15</f>
        <v>40.4</v>
      </c>
      <c r="D15" s="74">
        <f>IFERROR(B15*'📥 INPUTS'!B6/'📥 INPUTS'!B31,0)</f>
        <v>690410.95890410955</v>
      </c>
      <c r="E15" s="38" t="s">
        <v>167</v>
      </c>
    </row>
    <row r="16" spans="1:5" ht="21.75" customHeight="1" x14ac:dyDescent="0.25">
      <c r="A16" s="36" t="s">
        <v>168</v>
      </c>
      <c r="B16" s="73">
        <v>5</v>
      </c>
      <c r="C16" s="70">
        <f>'📊 OPERATING CYCLE'!B12+B16</f>
        <v>7</v>
      </c>
      <c r="D16" s="74">
        <f>IFERROR(B16*'📥 INPUTS'!B5/'📥 INPUTS'!B31,0)</f>
        <v>493150.68493150687</v>
      </c>
      <c r="E16" s="38" t="s">
        <v>169</v>
      </c>
    </row>
    <row r="17" spans="1:5" ht="25.5" customHeight="1" x14ac:dyDescent="0.25">
      <c r="A17" s="75" t="s">
        <v>170</v>
      </c>
      <c r="B17" s="76"/>
      <c r="C17" s="76"/>
      <c r="D17" s="61">
        <f>D13+D14+D15+D16</f>
        <v>2860273.9726027395</v>
      </c>
      <c r="E17" s="77"/>
    </row>
    <row r="18" spans="1:5" ht="21.75" customHeight="1" x14ac:dyDescent="0.25">
      <c r="A18" s="47" t="s">
        <v>171</v>
      </c>
      <c r="B18" s="78"/>
      <c r="C18" s="78"/>
      <c r="D18" s="68">
        <f>MAX(0,'💰 WC GAP'!B16-D17)</f>
        <v>2503285.3494311594</v>
      </c>
      <c r="E18" s="79" t="str">
        <f>IFERROR(TEXT((1-D18/'💰 WC GAP'!B16),"0.0%")&amp;" reduction in WC funding need","—")</f>
        <v>53.3% reduction in WC funding need</v>
      </c>
    </row>
    <row r="20" spans="1:5" ht="31.5" customHeight="1" x14ac:dyDescent="0.25">
      <c r="A20" s="44" t="s">
        <v>172</v>
      </c>
      <c r="B20" s="44"/>
      <c r="C20" s="44"/>
      <c r="D20" s="44"/>
      <c r="E20" s="44"/>
    </row>
  </sheetData>
  <sheetProtection algorithmName="SHA-512" hashValue="TFwVruA2+eKVPB4HMliCD0LaC5lY3SYk9m2G3bCrXDib/j5cBWc9TJJeyjD1KF2S5pVlxZ0TJFmDHQal0+fD/w==" saltValue="qKgZR6NEJTqnKfIOKcZcuQ==" spinCount="100000" sheet="1" objects="1" scenarios="1"/>
  <mergeCells count="11">
    <mergeCell ref="A20:E20"/>
    <mergeCell ref="D6:E6"/>
    <mergeCell ref="D7:E7"/>
    <mergeCell ref="D8:E8"/>
    <mergeCell ref="D9:E9"/>
    <mergeCell ref="A11:E11"/>
    <mergeCell ref="A1:E1"/>
    <mergeCell ref="A2:E2"/>
    <mergeCell ref="A3:E3"/>
    <mergeCell ref="D4:E4"/>
    <mergeCell ref="D5:E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C3483"/>
  </sheetPr>
  <dimension ref="A1:C24"/>
  <sheetViews>
    <sheetView zoomScaleNormal="100" workbookViewId="0">
      <pane ySplit="2" topLeftCell="A3" activePane="bottomLeft" state="frozen"/>
      <selection pane="bottomLeft" sqref="A1:XFD1048576"/>
    </sheetView>
  </sheetViews>
  <sheetFormatPr defaultColWidth="8.7109375" defaultRowHeight="15" x14ac:dyDescent="0.25"/>
  <cols>
    <col min="1" max="1" width="42" style="6" customWidth="1"/>
    <col min="2" max="2" width="20" style="6" customWidth="1"/>
    <col min="3" max="3" width="60.140625" style="6" customWidth="1"/>
    <col min="4" max="16384" width="8.7109375" style="6"/>
  </cols>
  <sheetData>
    <row r="1" spans="1:3" ht="30" customHeight="1" x14ac:dyDescent="0.25">
      <c r="A1" s="32" t="s">
        <v>173</v>
      </c>
      <c r="B1" s="32"/>
      <c r="C1" s="32"/>
    </row>
    <row r="2" spans="1:3" ht="15" customHeight="1" x14ac:dyDescent="0.25">
      <c r="A2" s="33" t="s">
        <v>174</v>
      </c>
      <c r="B2" s="33"/>
      <c r="C2" s="33"/>
    </row>
    <row r="3" spans="1:3" ht="21.75" customHeight="1" x14ac:dyDescent="0.25">
      <c r="A3" s="34" t="s">
        <v>175</v>
      </c>
      <c r="B3" s="34"/>
      <c r="C3" s="34"/>
    </row>
    <row r="4" spans="1:3" ht="19.5" customHeight="1" x14ac:dyDescent="0.25">
      <c r="A4" s="35" t="s">
        <v>100</v>
      </c>
      <c r="B4" s="35" t="s">
        <v>49</v>
      </c>
      <c r="C4" s="35" t="s">
        <v>50</v>
      </c>
    </row>
    <row r="5" spans="1:3" ht="19.5" customHeight="1" x14ac:dyDescent="0.25">
      <c r="A5" s="47" t="s">
        <v>176</v>
      </c>
      <c r="B5" s="80">
        <f>IFERROR(0.75*('📥 INPUTS'!B16+'📥 INPUTS'!B17-'📥 INPUTS'!B20),0)</f>
        <v>4425000</v>
      </c>
      <c r="C5" s="38" t="s">
        <v>177</v>
      </c>
    </row>
    <row r="6" spans="1:3" ht="19.5" customHeight="1" x14ac:dyDescent="0.25">
      <c r="A6" s="49" t="s">
        <v>178</v>
      </c>
      <c r="B6" s="81">
        <f>'💰 WC GAP'!B21</f>
        <v>3863559.3220338989</v>
      </c>
      <c r="C6" s="38" t="s">
        <v>179</v>
      </c>
    </row>
    <row r="7" spans="1:3" ht="21.75" customHeight="1" x14ac:dyDescent="0.25">
      <c r="A7" s="51" t="s">
        <v>180</v>
      </c>
      <c r="B7" s="82">
        <f>IFERROR('💰 WC GAP'!B21*(1+'📥 INPUTS'!B28),0)</f>
        <v>4443093.2203389835</v>
      </c>
      <c r="C7" s="38" t="s">
        <v>181</v>
      </c>
    </row>
    <row r="8" spans="1:3" ht="19.5" customHeight="1" x14ac:dyDescent="0.25">
      <c r="A8" s="49" t="s">
        <v>182</v>
      </c>
      <c r="B8" s="81">
        <f>'📥 INPUTS'!B22</f>
        <v>2500000</v>
      </c>
      <c r="C8" s="38" t="s">
        <v>183</v>
      </c>
    </row>
    <row r="9" spans="1:3" ht="19.5" customHeight="1" x14ac:dyDescent="0.25">
      <c r="A9" s="49" t="s">
        <v>184</v>
      </c>
      <c r="B9" s="81">
        <f>MAX(0,B7-B8)</f>
        <v>1943093.2203389835</v>
      </c>
      <c r="C9" s="38" t="s">
        <v>185</v>
      </c>
    </row>
    <row r="11" spans="1:3" ht="21.75" customHeight="1" x14ac:dyDescent="0.25">
      <c r="A11" s="40" t="s">
        <v>186</v>
      </c>
      <c r="B11" s="40"/>
      <c r="C11" s="40"/>
    </row>
    <row r="12" spans="1:3" ht="19.5" customHeight="1" x14ac:dyDescent="0.25">
      <c r="A12" s="35" t="s">
        <v>100</v>
      </c>
      <c r="B12" s="35" t="s">
        <v>187</v>
      </c>
      <c r="C12" s="35" t="s">
        <v>50</v>
      </c>
    </row>
    <row r="13" spans="1:3" ht="19.5" customHeight="1" x14ac:dyDescent="0.25">
      <c r="A13" s="47" t="s">
        <v>188</v>
      </c>
      <c r="B13" s="80">
        <f>IFERROR(B7*'📥 INPUTS'!B29*'📥 INPUTS'!B30,0)</f>
        <v>349893.59110169491</v>
      </c>
      <c r="C13" s="38" t="s">
        <v>189</v>
      </c>
    </row>
    <row r="14" spans="1:3" ht="19.5" customHeight="1" x14ac:dyDescent="0.25">
      <c r="A14" s="49" t="s">
        <v>190</v>
      </c>
      <c r="B14" s="83">
        <f>IFERROR(B13/'📥 INPUTS'!B5,0)</f>
        <v>9.7192664194915256E-3</v>
      </c>
      <c r="C14" s="38" t="s">
        <v>191</v>
      </c>
    </row>
    <row r="15" spans="1:3" ht="19.5" customHeight="1" x14ac:dyDescent="0.25">
      <c r="A15" s="49" t="s">
        <v>192</v>
      </c>
      <c r="B15" s="84">
        <f>IFERROR(B13/'📥 INPUTS'!B31,0)</f>
        <v>958.61257836080802</v>
      </c>
      <c r="C15" s="38" t="s">
        <v>193</v>
      </c>
    </row>
    <row r="16" spans="1:3" ht="19.5" customHeight="1" x14ac:dyDescent="0.25">
      <c r="A16" s="85" t="s">
        <v>194</v>
      </c>
      <c r="B16" s="86">
        <f>IFERROR('🔄 WHAT-IF'!D17*'📥 INPUTS'!B29*'📥 INPUTS'!B30,0)</f>
        <v>225246.57534246575</v>
      </c>
      <c r="C16" s="38" t="s">
        <v>195</v>
      </c>
    </row>
    <row r="18" spans="1:3" ht="21.75" customHeight="1" x14ac:dyDescent="0.25">
      <c r="A18" s="34" t="s">
        <v>196</v>
      </c>
      <c r="B18" s="34"/>
      <c r="C18" s="34"/>
    </row>
    <row r="19" spans="1:3" ht="36" customHeight="1" x14ac:dyDescent="0.25">
      <c r="A19" s="54" t="s">
        <v>197</v>
      </c>
      <c r="B19" s="44" t="s">
        <v>198</v>
      </c>
      <c r="C19" s="44"/>
    </row>
    <row r="20" spans="1:3" ht="36" customHeight="1" x14ac:dyDescent="0.25">
      <c r="A20" s="54" t="s">
        <v>199</v>
      </c>
      <c r="B20" s="44" t="s">
        <v>200</v>
      </c>
      <c r="C20" s="44"/>
    </row>
    <row r="21" spans="1:3" ht="36" customHeight="1" x14ac:dyDescent="0.25">
      <c r="A21" s="54" t="s">
        <v>201</v>
      </c>
      <c r="B21" s="44" t="s">
        <v>202</v>
      </c>
      <c r="C21" s="44"/>
    </row>
    <row r="22" spans="1:3" ht="36" customHeight="1" x14ac:dyDescent="0.25">
      <c r="A22" s="54" t="s">
        <v>203</v>
      </c>
      <c r="B22" s="44" t="s">
        <v>204</v>
      </c>
      <c r="C22" s="44"/>
    </row>
    <row r="24" spans="1:3" ht="15" customHeight="1" x14ac:dyDescent="0.25">
      <c r="A24" s="44" t="s">
        <v>205</v>
      </c>
      <c r="B24" s="44"/>
      <c r="C24" s="44"/>
    </row>
  </sheetData>
  <sheetProtection algorithmName="SHA-512" hashValue="NVi0sb9n/c+nMHz7p7O0XYhfreI3Tsk7XJn0OKaoRLblkxISu2uk5RAfcsnbuNHyQ5wTYwkOnnmvx/+8On0Row==" saltValue="mqYP2HW0JX6+uyhcIuvt4Q==" spinCount="100000" sheet="1" objects="1" scenarios="1"/>
  <mergeCells count="10">
    <mergeCell ref="B19:C19"/>
    <mergeCell ref="B20:C20"/>
    <mergeCell ref="B21:C21"/>
    <mergeCell ref="B22:C22"/>
    <mergeCell ref="A24:C24"/>
    <mergeCell ref="A1:C1"/>
    <mergeCell ref="A2:C2"/>
    <mergeCell ref="A3:C3"/>
    <mergeCell ref="A11:C11"/>
    <mergeCell ref="A18:C18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B4F72"/>
  </sheetPr>
  <dimension ref="A1:G26"/>
  <sheetViews>
    <sheetView zoomScaleNormal="100" workbookViewId="0">
      <pane ySplit="3" topLeftCell="A4" activePane="bottomLeft" state="frozen"/>
      <selection pane="bottomLeft" sqref="A1:XFD1048576"/>
    </sheetView>
  </sheetViews>
  <sheetFormatPr defaultColWidth="8.7109375" defaultRowHeight="15" x14ac:dyDescent="0.25"/>
  <cols>
    <col min="1" max="1" width="26" style="6" customWidth="1"/>
    <col min="2" max="7" width="14" style="6" customWidth="1"/>
    <col min="8" max="16384" width="8.7109375" style="6"/>
  </cols>
  <sheetData>
    <row r="1" spans="1:7" ht="30" customHeight="1" x14ac:dyDescent="0.25">
      <c r="A1" s="32" t="s">
        <v>206</v>
      </c>
      <c r="B1" s="32"/>
      <c r="C1" s="32"/>
      <c r="D1" s="32"/>
      <c r="E1" s="32"/>
      <c r="F1" s="32"/>
      <c r="G1" s="32"/>
    </row>
    <row r="2" spans="1:7" ht="15" customHeight="1" x14ac:dyDescent="0.25">
      <c r="A2" s="33" t="s">
        <v>207</v>
      </c>
      <c r="B2" s="33"/>
      <c r="C2" s="33"/>
      <c r="D2" s="33"/>
      <c r="E2" s="33"/>
      <c r="F2" s="33"/>
      <c r="G2" s="33"/>
    </row>
    <row r="3" spans="1:7" ht="24" customHeight="1" x14ac:dyDescent="0.25">
      <c r="A3" s="87" t="s">
        <v>208</v>
      </c>
      <c r="B3" s="87"/>
      <c r="C3" s="87"/>
      <c r="D3" s="87"/>
      <c r="E3" s="87"/>
      <c r="F3" s="87"/>
      <c r="G3" s="87"/>
    </row>
    <row r="4" spans="1:7" ht="21.75" customHeight="1" x14ac:dyDescent="0.25">
      <c r="A4" s="49" t="s">
        <v>209</v>
      </c>
      <c r="B4" s="88">
        <f>'📊 OPERATING CYCLE'!B15</f>
        <v>62.1</v>
      </c>
      <c r="C4" s="88"/>
    </row>
    <row r="5" spans="1:7" ht="21.75" customHeight="1" x14ac:dyDescent="0.25">
      <c r="A5" s="49" t="s">
        <v>210</v>
      </c>
      <c r="B5" s="89">
        <f>'💰 WC GAP'!B16</f>
        <v>5363559.3220338989</v>
      </c>
      <c r="C5" s="89"/>
    </row>
    <row r="6" spans="1:7" ht="21.75" customHeight="1" x14ac:dyDescent="0.25">
      <c r="A6" s="49" t="s">
        <v>211</v>
      </c>
      <c r="B6" s="90">
        <f>'🏦 FUNDING ANALYSIS'!B5</f>
        <v>4425000</v>
      </c>
      <c r="C6" s="90"/>
    </row>
    <row r="7" spans="1:7" ht="21.75" customHeight="1" x14ac:dyDescent="0.25">
      <c r="A7" s="49" t="s">
        <v>212</v>
      </c>
      <c r="B7" s="91">
        <f>'🏦 FUNDING ANALYSIS'!B7</f>
        <v>4443093.2203389835</v>
      </c>
      <c r="C7" s="91"/>
    </row>
    <row r="8" spans="1:7" ht="21.75" customHeight="1" x14ac:dyDescent="0.25">
      <c r="A8" s="49" t="s">
        <v>213</v>
      </c>
      <c r="B8" s="92">
        <f>'🏦 FUNDING ANALYSIS'!B13</f>
        <v>349893.59110169491</v>
      </c>
      <c r="C8" s="92"/>
    </row>
    <row r="9" spans="1:7" ht="21.75" customHeight="1" x14ac:dyDescent="0.25">
      <c r="A9" s="49" t="s">
        <v>214</v>
      </c>
      <c r="B9" s="90">
        <f>'🔄 WHAT-IF'!D17</f>
        <v>2860273.9726027395</v>
      </c>
      <c r="C9" s="90"/>
    </row>
    <row r="10" spans="1:7" ht="21.75" customHeight="1" x14ac:dyDescent="0.25">
      <c r="A10" s="49" t="s">
        <v>215</v>
      </c>
      <c r="B10" s="90">
        <f>'🏦 FUNDING ANALYSIS'!B16</f>
        <v>225246.57534246575</v>
      </c>
      <c r="C10" s="90"/>
    </row>
    <row r="12" spans="1:7" ht="21.75" customHeight="1" x14ac:dyDescent="0.25">
      <c r="A12" s="40" t="s">
        <v>216</v>
      </c>
      <c r="B12" s="40"/>
      <c r="C12" s="40"/>
      <c r="D12" s="40"/>
      <c r="E12" s="40"/>
      <c r="F12" s="40"/>
      <c r="G12" s="40"/>
    </row>
    <row r="13" spans="1:7" ht="19.5" customHeight="1" x14ac:dyDescent="0.25">
      <c r="A13" s="35" t="s">
        <v>120</v>
      </c>
      <c r="B13" s="35" t="s">
        <v>101</v>
      </c>
    </row>
    <row r="14" spans="1:7" ht="15" customHeight="1" x14ac:dyDescent="0.25">
      <c r="A14" s="49" t="s">
        <v>104</v>
      </c>
      <c r="B14" s="93">
        <f>'📊 OPERATING CYCLE'!B6</f>
        <v>38.700000000000003</v>
      </c>
    </row>
    <row r="15" spans="1:7" ht="15" customHeight="1" x14ac:dyDescent="0.25">
      <c r="A15" s="49" t="s">
        <v>105</v>
      </c>
      <c r="B15" s="93">
        <f>'📊 OPERATING CYCLE'!B7</f>
        <v>50.7</v>
      </c>
    </row>
    <row r="16" spans="1:7" ht="15" customHeight="1" x14ac:dyDescent="0.25">
      <c r="A16" s="49" t="s">
        <v>152</v>
      </c>
      <c r="B16" s="93">
        <f>'📊 OPERATING CYCLE'!B11</f>
        <v>30.4</v>
      </c>
    </row>
    <row r="17" spans="1:7" ht="15" customHeight="1" x14ac:dyDescent="0.25">
      <c r="A17" s="49" t="s">
        <v>153</v>
      </c>
      <c r="B17" s="93">
        <f>'📊 OPERATING CYCLE'!B15</f>
        <v>62.1</v>
      </c>
    </row>
    <row r="19" spans="1:7" ht="21.75" customHeight="1" x14ac:dyDescent="0.25">
      <c r="A19" s="41" t="s">
        <v>217</v>
      </c>
      <c r="B19" s="41"/>
      <c r="C19" s="41"/>
      <c r="D19" s="41"/>
      <c r="E19" s="41"/>
      <c r="F19" s="41"/>
      <c r="G19" s="41"/>
    </row>
    <row r="20" spans="1:7" ht="19.5" customHeight="1" x14ac:dyDescent="0.25">
      <c r="A20" s="35" t="s">
        <v>120</v>
      </c>
      <c r="B20" s="35" t="s">
        <v>218</v>
      </c>
    </row>
    <row r="21" spans="1:7" ht="15" customHeight="1" x14ac:dyDescent="0.25">
      <c r="A21" s="49" t="s">
        <v>219</v>
      </c>
      <c r="B21" s="84">
        <f>IFERROR('📥 INPUTS'!B16/(1+'📥 INPUTS'!B26),0)</f>
        <v>3813559.3220338984</v>
      </c>
    </row>
    <row r="22" spans="1:7" ht="15" customHeight="1" x14ac:dyDescent="0.25">
      <c r="A22" s="49" t="s">
        <v>220</v>
      </c>
      <c r="B22" s="84">
        <f>'📥 INPUTS'!B17</f>
        <v>3500000</v>
      </c>
    </row>
    <row r="23" spans="1:7" ht="15" customHeight="1" x14ac:dyDescent="0.25">
      <c r="A23" s="49" t="s">
        <v>221</v>
      </c>
      <c r="B23" s="84">
        <f>'📥 INPUTS'!B18</f>
        <v>350000</v>
      </c>
    </row>
    <row r="24" spans="1:7" ht="15" customHeight="1" x14ac:dyDescent="0.25">
      <c r="A24" s="49" t="s">
        <v>222</v>
      </c>
      <c r="B24" s="84">
        <f>-'📥 INPUTS'!B20</f>
        <v>-2100000</v>
      </c>
    </row>
    <row r="25" spans="1:7" ht="15" customHeight="1" x14ac:dyDescent="0.25">
      <c r="A25" s="49" t="s">
        <v>223</v>
      </c>
      <c r="B25" s="84">
        <f>-'📥 INPUTS'!B21</f>
        <v>-200000</v>
      </c>
    </row>
    <row r="26" spans="1:7" ht="15" customHeight="1" x14ac:dyDescent="0.25">
      <c r="A26" s="49" t="s">
        <v>224</v>
      </c>
      <c r="B26" s="84">
        <f>'💰 WC GAP'!B16</f>
        <v>5363559.3220338989</v>
      </c>
    </row>
  </sheetData>
  <sheetProtection algorithmName="SHA-512" hashValue="M7pgTz8qPMKstKQy0Q8rpGbJudGNFba/CTA5S2fRyEWja4EIkC/yEa+GXeM9uHM75laYV3XBzjeENyUwQlQKYg==" saltValue="+99fbJkrnZCg8iVYSNdHKQ==" spinCount="100000" sheet="1" objects="1" scenarios="1"/>
  <mergeCells count="12">
    <mergeCell ref="A12:G12"/>
    <mergeCell ref="A19:G19"/>
    <mergeCell ref="B6:C6"/>
    <mergeCell ref="B7:C7"/>
    <mergeCell ref="B8:C8"/>
    <mergeCell ref="B9:C9"/>
    <mergeCell ref="B10:C10"/>
    <mergeCell ref="A1:G1"/>
    <mergeCell ref="A2:G2"/>
    <mergeCell ref="A3:G3"/>
    <mergeCell ref="B4:C4"/>
    <mergeCell ref="B5:C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2E86C1"/>
  </sheetPr>
  <dimension ref="A1:B36"/>
  <sheetViews>
    <sheetView zoomScaleNormal="100" workbookViewId="0"/>
  </sheetViews>
  <sheetFormatPr defaultColWidth="8.7109375" defaultRowHeight="15" x14ac:dyDescent="0.25"/>
  <cols>
    <col min="1" max="1" width="6" customWidth="1"/>
    <col min="2" max="2" width="96" customWidth="1"/>
  </cols>
  <sheetData>
    <row r="1" spans="1:2" ht="30" customHeight="1" x14ac:dyDescent="0.25">
      <c r="A1" s="2" t="s">
        <v>225</v>
      </c>
      <c r="B1" s="2"/>
    </row>
    <row r="3" spans="1:2" ht="19.5" customHeight="1" x14ac:dyDescent="0.25">
      <c r="A3" s="3" t="s">
        <v>226</v>
      </c>
      <c r="B3" s="3"/>
    </row>
    <row r="4" spans="1:2" ht="19.5" customHeight="1" x14ac:dyDescent="0.25">
      <c r="A4" s="1" t="s">
        <v>227</v>
      </c>
      <c r="B4" s="1"/>
    </row>
    <row r="5" spans="1:2" ht="33.75" customHeight="1" x14ac:dyDescent="0.25">
      <c r="A5" s="4" t="s">
        <v>228</v>
      </c>
      <c r="B5" s="4"/>
    </row>
    <row r="6" spans="1:2" ht="19.5" customHeight="1" x14ac:dyDescent="0.25">
      <c r="A6" s="1" t="s">
        <v>229</v>
      </c>
      <c r="B6" s="1"/>
    </row>
    <row r="7" spans="1:2" ht="33.75" customHeight="1" x14ac:dyDescent="0.25">
      <c r="A7" s="4" t="s">
        <v>230</v>
      </c>
      <c r="B7" s="4"/>
    </row>
    <row r="8" spans="1:2" ht="19.5" customHeight="1" x14ac:dyDescent="0.25">
      <c r="A8" s="1" t="s">
        <v>231</v>
      </c>
      <c r="B8" s="1"/>
    </row>
    <row r="9" spans="1:2" ht="33.75" customHeight="1" x14ac:dyDescent="0.25">
      <c r="A9" s="4" t="s">
        <v>232</v>
      </c>
      <c r="B9" s="4"/>
    </row>
    <row r="10" spans="1:2" ht="19.5" customHeight="1" x14ac:dyDescent="0.25">
      <c r="A10" s="1" t="s">
        <v>233</v>
      </c>
      <c r="B10" s="1"/>
    </row>
    <row r="11" spans="1:2" ht="33.75" customHeight="1" x14ac:dyDescent="0.25">
      <c r="A11" s="4" t="s">
        <v>234</v>
      </c>
      <c r="B11" s="4"/>
    </row>
    <row r="12" spans="1:2" ht="19.5" customHeight="1" x14ac:dyDescent="0.25">
      <c r="A12" s="1" t="s">
        <v>235</v>
      </c>
      <c r="B12" s="1"/>
    </row>
    <row r="13" spans="1:2" ht="33.75" customHeight="1" x14ac:dyDescent="0.25">
      <c r="A13" s="4" t="s">
        <v>236</v>
      </c>
      <c r="B13" s="4"/>
    </row>
    <row r="14" spans="1:2" ht="19.5" customHeight="1" x14ac:dyDescent="0.25">
      <c r="A14" s="1" t="s">
        <v>237</v>
      </c>
      <c r="B14" s="1"/>
    </row>
    <row r="15" spans="1:2" ht="33.75" customHeight="1" x14ac:dyDescent="0.25">
      <c r="A15" s="4" t="s">
        <v>238</v>
      </c>
      <c r="B15" s="4"/>
    </row>
    <row r="17" spans="1:2" ht="19.5" customHeight="1" x14ac:dyDescent="0.25">
      <c r="A17" s="3" t="s">
        <v>239</v>
      </c>
      <c r="B17" s="3"/>
    </row>
    <row r="18" spans="1:2" ht="33.75" customHeight="1" x14ac:dyDescent="0.25">
      <c r="A18" s="4" t="s">
        <v>240</v>
      </c>
      <c r="B18" s="4"/>
    </row>
    <row r="19" spans="1:2" ht="33.75" customHeight="1" x14ac:dyDescent="0.25">
      <c r="A19" s="4" t="s">
        <v>241</v>
      </c>
      <c r="B19" s="4"/>
    </row>
    <row r="20" spans="1:2" ht="33.75" customHeight="1" x14ac:dyDescent="0.25">
      <c r="A20" s="4" t="s">
        <v>242</v>
      </c>
      <c r="B20" s="4"/>
    </row>
    <row r="21" spans="1:2" ht="33.75" customHeight="1" x14ac:dyDescent="0.25">
      <c r="A21" s="4" t="s">
        <v>243</v>
      </c>
      <c r="B21" s="4"/>
    </row>
    <row r="22" spans="1:2" ht="33.75" customHeight="1" x14ac:dyDescent="0.25">
      <c r="A22" s="4" t="s">
        <v>244</v>
      </c>
      <c r="B22" s="4"/>
    </row>
    <row r="23" spans="1:2" ht="33.75" customHeight="1" x14ac:dyDescent="0.25">
      <c r="A23" s="4" t="s">
        <v>245</v>
      </c>
      <c r="B23" s="4"/>
    </row>
    <row r="25" spans="1:2" ht="19.5" customHeight="1" x14ac:dyDescent="0.25">
      <c r="A25" s="3" t="s">
        <v>246</v>
      </c>
      <c r="B25" s="3"/>
    </row>
    <row r="26" spans="1:2" ht="33.75" customHeight="1" x14ac:dyDescent="0.25">
      <c r="A26" s="4" t="s">
        <v>247</v>
      </c>
      <c r="B26" s="4"/>
    </row>
    <row r="27" spans="1:2" ht="33.75" customHeight="1" x14ac:dyDescent="0.25">
      <c r="A27" s="4" t="s">
        <v>248</v>
      </c>
      <c r="B27" s="4"/>
    </row>
    <row r="28" spans="1:2" ht="33.75" customHeight="1" x14ac:dyDescent="0.25">
      <c r="A28" s="4" t="s">
        <v>249</v>
      </c>
      <c r="B28" s="4"/>
    </row>
    <row r="29" spans="1:2" ht="33.75" customHeight="1" x14ac:dyDescent="0.25">
      <c r="A29" s="4" t="s">
        <v>250</v>
      </c>
      <c r="B29" s="4"/>
    </row>
    <row r="31" spans="1:2" ht="19.5" customHeight="1" x14ac:dyDescent="0.25">
      <c r="A31" s="3" t="s">
        <v>251</v>
      </c>
      <c r="B31" s="3"/>
    </row>
    <row r="32" spans="1:2" ht="33.75" customHeight="1" x14ac:dyDescent="0.25">
      <c r="A32" s="4" t="s">
        <v>252</v>
      </c>
      <c r="B32" s="4"/>
    </row>
    <row r="33" spans="1:2" ht="33.75" customHeight="1" x14ac:dyDescent="0.25">
      <c r="A33" s="4" t="s">
        <v>253</v>
      </c>
      <c r="B33" s="4"/>
    </row>
    <row r="34" spans="1:2" ht="33.75" customHeight="1" x14ac:dyDescent="0.25">
      <c r="A34" s="4" t="s">
        <v>254</v>
      </c>
      <c r="B34" s="4"/>
    </row>
    <row r="36" spans="1:2" ht="15.75" customHeight="1" x14ac:dyDescent="0.25">
      <c r="A36" s="5" t="s">
        <v>255</v>
      </c>
      <c r="B36" s="5"/>
    </row>
  </sheetData>
  <mergeCells count="31">
    <mergeCell ref="A36:B36"/>
    <mergeCell ref="A29:B29"/>
    <mergeCell ref="A31:B31"/>
    <mergeCell ref="A32:B32"/>
    <mergeCell ref="A33:B33"/>
    <mergeCell ref="A34:B34"/>
    <mergeCell ref="A23:B23"/>
    <mergeCell ref="A25:B25"/>
    <mergeCell ref="A26:B26"/>
    <mergeCell ref="A27:B27"/>
    <mergeCell ref="A28:B28"/>
    <mergeCell ref="A18:B18"/>
    <mergeCell ref="A19:B19"/>
    <mergeCell ref="A20:B20"/>
    <mergeCell ref="A21:B21"/>
    <mergeCell ref="A22:B22"/>
    <mergeCell ref="A12:B12"/>
    <mergeCell ref="A13:B13"/>
    <mergeCell ref="A14:B14"/>
    <mergeCell ref="A15:B15"/>
    <mergeCell ref="A17:B17"/>
    <mergeCell ref="A7:B7"/>
    <mergeCell ref="A8:B8"/>
    <mergeCell ref="A9:B9"/>
    <mergeCell ref="A10:B10"/>
    <mergeCell ref="A11:B11"/>
    <mergeCell ref="A1:B1"/>
    <mergeCell ref="A3:B3"/>
    <mergeCell ref="A4:B4"/>
    <mergeCell ref="A5:B5"/>
    <mergeCell ref="A6:B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🏠 COVER</vt:lpstr>
      <vt:lpstr>📥 INPUTS</vt:lpstr>
      <vt:lpstr>📊 OPERATING CYCLE</vt:lpstr>
      <vt:lpstr>💰 WC GAP</vt:lpstr>
      <vt:lpstr>🔄 WHAT-IF</vt:lpstr>
      <vt:lpstr>🏦 FUNDING ANALYSIS</vt:lpstr>
      <vt:lpstr>📈 DASHBOARD</vt:lpstr>
      <vt:lpstr>📖 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madhu roy</cp:lastModifiedBy>
  <cp:revision>2</cp:revision>
  <dcterms:created xsi:type="dcterms:W3CDTF">2026-09-06T11:36:59Z</dcterms:created>
  <dcterms:modified xsi:type="dcterms:W3CDTF">2026-09-06T16:41:02Z</dcterms:modified>
  <dc:language>en-US</dc:language>
</cp:coreProperties>
</file>