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ACER Data website\MAYA\CAMSROY website\Excel Template\Project proftiability tracker\"/>
    </mc:Choice>
  </mc:AlternateContent>
  <xr:revisionPtr revIDLastSave="0" documentId="13_ncr:1_{3E69F410-CCF6-477C-A81C-0D4A9E9EAF76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🏠 COVER" sheetId="1" r:id="rId1"/>
    <sheet name="📋 PROJECT SETUP" sheetId="2" r:id="rId2"/>
    <sheet name="⏱ TIME TRACKER" sheetId="3" r:id="rId3"/>
    <sheet name="💸 COST TRACKER" sheetId="4" r:id="rId4"/>
    <sheet name="📊 PROJECT P&amp;L" sheetId="5" r:id="rId5"/>
    <sheet name="🚦 DASHBOARD" sheetId="6" r:id="rId6"/>
    <sheet name="📖 HOW TO USE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6" l="1"/>
  <c r="B25" i="6"/>
  <c r="B18" i="6"/>
  <c r="B16" i="6"/>
  <c r="D10" i="6"/>
  <c r="B10" i="6"/>
  <c r="B9" i="6"/>
  <c r="B8" i="6"/>
  <c r="B7" i="6"/>
  <c r="B6" i="6"/>
  <c r="B5" i="6"/>
  <c r="B4" i="6"/>
  <c r="D15" i="5"/>
  <c r="C15" i="5"/>
  <c r="B15" i="5"/>
  <c r="E15" i="5" s="1"/>
  <c r="E7" i="5"/>
  <c r="D5" i="5"/>
  <c r="B5" i="5"/>
  <c r="H26" i="4"/>
  <c r="E25" i="6" s="1"/>
  <c r="E26" i="4"/>
  <c r="D22" i="4"/>
  <c r="C22" i="4"/>
  <c r="B22" i="4"/>
  <c r="H21" i="4"/>
  <c r="E21" i="4"/>
  <c r="F21" i="4" s="1"/>
  <c r="G21" i="4" s="1"/>
  <c r="H20" i="4"/>
  <c r="E20" i="4"/>
  <c r="F20" i="4" s="1"/>
  <c r="G20" i="4" s="1"/>
  <c r="H19" i="4"/>
  <c r="F19" i="4"/>
  <c r="G19" i="4" s="1"/>
  <c r="E19" i="4"/>
  <c r="H18" i="4"/>
  <c r="E18" i="4"/>
  <c r="F18" i="4" s="1"/>
  <c r="G18" i="4" s="1"/>
  <c r="D14" i="4"/>
  <c r="C14" i="4"/>
  <c r="B14" i="4"/>
  <c r="H13" i="4"/>
  <c r="E13" i="4"/>
  <c r="F13" i="4" s="1"/>
  <c r="G13" i="4" s="1"/>
  <c r="E12" i="4"/>
  <c r="H11" i="4"/>
  <c r="E11" i="4"/>
  <c r="F11" i="4" s="1"/>
  <c r="G11" i="4" s="1"/>
  <c r="E6" i="4"/>
  <c r="B5" i="4"/>
  <c r="B15" i="3"/>
  <c r="G12" i="3"/>
  <c r="F12" i="3"/>
  <c r="H11" i="3"/>
  <c r="E11" i="3"/>
  <c r="D11" i="3"/>
  <c r="K11" i="3" s="1"/>
  <c r="C11" i="3"/>
  <c r="J11" i="3" s="1"/>
  <c r="B11" i="3"/>
  <c r="A11" i="3"/>
  <c r="H10" i="3"/>
  <c r="L10" i="3" s="1"/>
  <c r="E10" i="3"/>
  <c r="I10" i="3" s="1"/>
  <c r="D10" i="3"/>
  <c r="K10" i="3" s="1"/>
  <c r="C10" i="3"/>
  <c r="J10" i="3" s="1"/>
  <c r="B10" i="3"/>
  <c r="A10" i="3"/>
  <c r="H9" i="3"/>
  <c r="L9" i="3" s="1"/>
  <c r="E9" i="3"/>
  <c r="I9" i="3" s="1"/>
  <c r="D9" i="3"/>
  <c r="K9" i="3" s="1"/>
  <c r="C9" i="3"/>
  <c r="J9" i="3" s="1"/>
  <c r="B9" i="3"/>
  <c r="A9" i="3"/>
  <c r="H8" i="3"/>
  <c r="L8" i="3" s="1"/>
  <c r="E8" i="3"/>
  <c r="I8" i="3" s="1"/>
  <c r="D8" i="3"/>
  <c r="K8" i="3" s="1"/>
  <c r="C8" i="3"/>
  <c r="J8" i="3" s="1"/>
  <c r="B8" i="3"/>
  <c r="A8" i="3"/>
  <c r="H7" i="3"/>
  <c r="L7" i="3" s="1"/>
  <c r="E7" i="3"/>
  <c r="I7" i="3" s="1"/>
  <c r="D7" i="3"/>
  <c r="K7" i="3" s="1"/>
  <c r="C7" i="3"/>
  <c r="J7" i="3" s="1"/>
  <c r="B7" i="3"/>
  <c r="A7" i="3"/>
  <c r="H6" i="3"/>
  <c r="L6" i="3" s="1"/>
  <c r="E6" i="3"/>
  <c r="I6" i="3" s="1"/>
  <c r="D6" i="3"/>
  <c r="K6" i="3" s="1"/>
  <c r="C6" i="3"/>
  <c r="J6" i="3" s="1"/>
  <c r="B6" i="3"/>
  <c r="A6" i="3"/>
  <c r="H5" i="3"/>
  <c r="L5" i="3" s="1"/>
  <c r="E5" i="3"/>
  <c r="I5" i="3" s="1"/>
  <c r="D5" i="3"/>
  <c r="K5" i="3" s="1"/>
  <c r="C5" i="3"/>
  <c r="J5" i="3" s="1"/>
  <c r="B5" i="3"/>
  <c r="A5" i="3"/>
  <c r="G33" i="2"/>
  <c r="F33" i="2"/>
  <c r="E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B20" i="2"/>
  <c r="B21" i="2" s="1"/>
  <c r="B18" i="2"/>
  <c r="C8" i="5" l="1"/>
  <c r="E6" i="5"/>
  <c r="D25" i="6"/>
  <c r="F26" i="4"/>
  <c r="G26" i="4" s="1"/>
  <c r="C24" i="6"/>
  <c r="E22" i="4"/>
  <c r="F22" i="4" s="1"/>
  <c r="G22" i="4" s="1"/>
  <c r="C14" i="5"/>
  <c r="B24" i="6"/>
  <c r="H22" i="4"/>
  <c r="E24" i="6" s="1"/>
  <c r="B14" i="5"/>
  <c r="C23" i="6"/>
  <c r="C13" i="5"/>
  <c r="E14" i="4"/>
  <c r="H14" i="4" s="1"/>
  <c r="E23" i="6" s="1"/>
  <c r="F14" i="4"/>
  <c r="G14" i="4" s="1"/>
  <c r="B23" i="6"/>
  <c r="B13" i="5"/>
  <c r="H12" i="4"/>
  <c r="F12" i="4"/>
  <c r="G12" i="4" s="1"/>
  <c r="F6" i="4"/>
  <c r="G6" i="4" s="1"/>
  <c r="H6" i="4"/>
  <c r="B7" i="4"/>
  <c r="L11" i="3"/>
  <c r="B17" i="3"/>
  <c r="H12" i="3"/>
  <c r="I11" i="3"/>
  <c r="I12" i="3" s="1"/>
  <c r="E12" i="3"/>
  <c r="D5" i="4"/>
  <c r="D7" i="4" s="1"/>
  <c r="D28" i="4" s="1"/>
  <c r="L12" i="3"/>
  <c r="K12" i="3"/>
  <c r="C5" i="4"/>
  <c r="J12" i="3"/>
  <c r="B16" i="3"/>
  <c r="B17" i="6" l="1"/>
  <c r="B32" i="6"/>
  <c r="D24" i="6"/>
  <c r="D14" i="5"/>
  <c r="E14" i="5" s="1"/>
  <c r="D13" i="5"/>
  <c r="E13" i="5" s="1"/>
  <c r="D23" i="6"/>
  <c r="B28" i="4"/>
  <c r="B12" i="5"/>
  <c r="B22" i="6"/>
  <c r="B18" i="3"/>
  <c r="B19" i="3"/>
  <c r="E5" i="4"/>
  <c r="C7" i="4"/>
  <c r="B26" i="6" l="1"/>
  <c r="B23" i="2"/>
  <c r="B16" i="5"/>
  <c r="B20" i="5" s="1"/>
  <c r="B21" i="5" s="1"/>
  <c r="B31" i="6"/>
  <c r="B15" i="6"/>
  <c r="H5" i="4"/>
  <c r="F5" i="4"/>
  <c r="G5" i="4" s="1"/>
  <c r="E7" i="4"/>
  <c r="C28" i="4"/>
  <c r="C26" i="6" s="1"/>
  <c r="C12" i="5"/>
  <c r="C16" i="5" s="1"/>
  <c r="C20" i="5" s="1"/>
  <c r="C21" i="5" s="1"/>
  <c r="C22" i="6"/>
  <c r="H7" i="4" l="1"/>
  <c r="E22" i="6" s="1"/>
  <c r="F7" i="4"/>
  <c r="E28" i="4"/>
  <c r="D12" i="5"/>
  <c r="D22" i="6"/>
  <c r="F28" i="4" l="1"/>
  <c r="G7" i="4"/>
  <c r="H28" i="4"/>
  <c r="E26" i="6" s="1"/>
  <c r="D26" i="6"/>
  <c r="E12" i="5"/>
  <c r="E16" i="5" s="1"/>
  <c r="D16" i="5"/>
  <c r="D20" i="5" s="1"/>
  <c r="G28" i="4" l="1"/>
  <c r="B14" i="6"/>
  <c r="B30" i="6"/>
  <c r="D21" i="5"/>
  <c r="E20" i="5"/>
  <c r="E21" i="5" l="1"/>
  <c r="B12" i="6"/>
  <c r="B29" i="6"/>
  <c r="D22" i="5"/>
  <c r="B13" i="6" s="1"/>
  <c r="F22" i="5"/>
</calcChain>
</file>

<file path=xl/sharedStrings.xml><?xml version="1.0" encoding="utf-8"?>
<sst xmlns="http://schemas.openxmlformats.org/spreadsheetml/2006/main" count="309" uniqueCount="255">
  <si>
    <t>📊  camsroy.com</t>
  </si>
  <si>
    <t>Smart Finance Templates  |  Built for Indian SMEs, CAs &amp; Service Businesses</t>
  </si>
  <si>
    <t>PROJECT PROFITABILITY TRACKER</t>
  </si>
  <si>
    <t>Is This Project Actually Making Money — and Where Will It End Up?</t>
  </si>
  <si>
    <t>Budget vs Actual · Forecast at Completion · Margin Erosion Alert · Dynamic RAG Status</t>
  </si>
  <si>
    <t>Project / Client Name</t>
  </si>
  <si>
    <t>[Enter Project Name]</t>
  </si>
  <si>
    <t>Business / Firm Name</t>
  </si>
  <si>
    <t>[Your Firm Name]</t>
  </si>
  <si>
    <t>Financial Year</t>
  </si>
  <si>
    <t>FY 2025-26</t>
  </si>
  <si>
    <t>Prepared By</t>
  </si>
  <si>
    <t>[Your Name]</t>
  </si>
  <si>
    <t>Report Date</t>
  </si>
  <si>
    <t>[As-on Date]</t>
  </si>
  <si>
    <t>📋  WORKBOOK NAVIGATION</t>
  </si>
  <si>
    <t>📋</t>
  </si>
  <si>
    <t xml:space="preserve">  PROJECT SETUP  —  Client details, contract value, team members and billing/cost rates</t>
  </si>
  <si>
    <t>⏱</t>
  </si>
  <si>
    <t xml:space="preserve">  TIME TRACKER  —  Hours budgeted vs actual vs forecast — billing efficiency and unbilled hours</t>
  </si>
  <si>
    <t>💸</t>
  </si>
  <si>
    <t xml:space="preserve">  COST TRACKER  —  Budget vs Actual vs Forecast to Complete vs EAC by category — the core tracker</t>
  </si>
  <si>
    <t>📊</t>
  </si>
  <si>
    <t xml:space="preserve">  PROJECT P&amp;L  —  Full P&amp;L: contracted revenue, costs, GM% — Budget vs Actual vs Forecast</t>
  </si>
  <si>
    <t>🚦</t>
  </si>
  <si>
    <t xml:space="preserve">  DASHBOARD  —  RAG status, forecast GM%, cost overrun, billing efficiency — one-page summary</t>
  </si>
  <si>
    <t>📖</t>
  </si>
  <si>
    <t xml:space="preserve">  HOW TO USE  —  Step-by-step guide, formula explanations, how CA firms vs agencies should use this</t>
  </si>
  <si>
    <t>🎨  COLOUR LEGEND</t>
  </si>
  <si>
    <t>Blue cells = Input (enter your data here)</t>
  </si>
  <si>
    <t>Green = Calculated output — auto-updates</t>
  </si>
  <si>
    <t>Gold = Key metric / decision output</t>
  </si>
  <si>
    <t>Red = Overrun / margin below threshold</t>
  </si>
  <si>
    <t>Yellow = At risk / watch closely</t>
  </si>
  <si>
    <t>💡  WHAT THIS TEMPLATE ANSWERS</t>
  </si>
  <si>
    <t>✓</t>
  </si>
  <si>
    <t>Is this project going to make money — not just historically, but forecast at completion?</t>
  </si>
  <si>
    <t>Where exactly is the margin being lost — staff, subcontractors, or expenses?</t>
  </si>
  <si>
    <t>Are we billing efficiently — how many hours are logged but not yet billed?</t>
  </si>
  <si>
    <t>What is the Estimated Cost at Completion vs what we budgeted when we won this project?</t>
  </si>
  <si>
    <t>Dynamic RAG status — Green/Amber/Red on margin, cost, billing, and schedule simultaneously</t>
  </si>
  <si>
    <t>Works for CA firms, IT companies, agencies, contractors — anyone billing project or time-based work</t>
  </si>
  <si>
    <t>© camsroy.com  |  Free for personal &amp; commercial use  |  www.camsroy.com</t>
  </si>
  <si>
    <t>📋  camsroy.com  |  PROJECT SETUP  —  Identity, Contract Value &amp; Team Rates</t>
  </si>
  <si>
    <t>Enter once. All other sheets reference these. Blue cells = Input.</t>
  </si>
  <si>
    <t>🪪  A. PROJECT IDENTITY</t>
  </si>
  <si>
    <t>Field</t>
  </si>
  <si>
    <t>Value</t>
  </si>
  <si>
    <t>Notes</t>
  </si>
  <si>
    <t>Project / Engagement Name</t>
  </si>
  <si>
    <t>ERP Implementation — Rajesh Traders</t>
  </si>
  <si>
    <t>As it appears on your contract/SOW</t>
  </si>
  <si>
    <t>Client Name</t>
  </si>
  <si>
    <t>Rajesh Traders Pvt Ltd</t>
  </si>
  <si>
    <t>Legal name for invoicing</t>
  </si>
  <si>
    <t>Project Type</t>
  </si>
  <si>
    <t>Fixed Fee</t>
  </si>
  <si>
    <t>Fixed Fee / T&amp;M / Retainer / Mixed</t>
  </si>
  <si>
    <t>Project Manager</t>
  </si>
  <si>
    <t>Priya Sharma</t>
  </si>
  <si>
    <t>Internal owner of this project</t>
  </si>
  <si>
    <t>Contract / SOW Reference</t>
  </si>
  <si>
    <t>SOW-2025-047</t>
  </si>
  <si>
    <t>For document tracking</t>
  </si>
  <si>
    <t>Start Date</t>
  </si>
  <si>
    <t>2025-04-01</t>
  </si>
  <si>
    <t>Planned End Date</t>
  </si>
  <si>
    <t>2025-09-30</t>
  </si>
  <si>
    <t>Revised Forecast End Date</t>
  </si>
  <si>
    <t>2025-10-15</t>
  </si>
  <si>
    <t>Update as project progresses</t>
  </si>
  <si>
    <t>💰  B. CONTRACT &amp; BUDGET</t>
  </si>
  <si>
    <t>Parameter</t>
  </si>
  <si>
    <t>Contracted / Quoted Value (₹, ex-GST)</t>
  </si>
  <si>
    <t>Total contract value excluding GST</t>
  </si>
  <si>
    <t>GST Rate on Services</t>
  </si>
  <si>
    <t>18% for most professional services</t>
  </si>
  <si>
    <t>Total Contract Value incl. GST (auto)</t>
  </si>
  <si>
    <t>Auto-calculated</t>
  </si>
  <si>
    <t>Budgeted Cost at Quote / Pricing Stage (₹)</t>
  </si>
  <si>
    <t>Your cost estimate when you priced and won this project. Compare to Cost Tracker grand total budget row — they should match.</t>
  </si>
  <si>
    <t>Budgeted Gross Margin ₹ (auto)</t>
  </si>
  <si>
    <t>Contract Value - Budgeted Cost</t>
  </si>
  <si>
    <t>Budgeted Gross Margin % (auto)</t>
  </si>
  <si>
    <t>The GM% you expected when you won this</t>
  </si>
  <si>
    <t>Minimum Acceptable GM% (threshold)</t>
  </si>
  <si>
    <t>RAG turns red if forecast GM% falls below this. Set Billing Efficiency Target in row below.</t>
  </si>
  <si>
    <t>Cost Tracker Grand Total Budget (auto, from Cost Tracker)</t>
  </si>
  <si>
    <t>Must equal B19 — if different, reconcile your cost tracker budget entries.</t>
  </si>
  <si>
    <t>👥  C. TEAM &amp; BILLING RATES (up to 7 members)</t>
  </si>
  <si>
    <t>Team Member</t>
  </si>
  <si>
    <t>Role</t>
  </si>
  <si>
    <t>Billing Rate
(₹/hr)</t>
  </si>
  <si>
    <t>Cost Rate
(₹/hr)</t>
  </si>
  <si>
    <t>Budgeted
Hours</t>
  </si>
  <si>
    <t>Budgeted
Revenue (₹)</t>
  </si>
  <si>
    <t>Budgeted
Cost (₹)</t>
  </si>
  <si>
    <t>Arjun Mehta</t>
  </si>
  <si>
    <t>Senior Consultant</t>
  </si>
  <si>
    <t>Divya Rao</t>
  </si>
  <si>
    <t>Business Analyst</t>
  </si>
  <si>
    <t>Karan Singh</t>
  </si>
  <si>
    <t>Developer</t>
  </si>
  <si>
    <t>Ananya Gupta</t>
  </si>
  <si>
    <t>QA Analyst</t>
  </si>
  <si>
    <t>TOTALS</t>
  </si>
  <si>
    <t>ℹ  Billing Rate = what you charge the client per hour. Cost Rate = what this person costs your firm (salary/12/working hours). If billing is Fixed Fee (not T&amp;M), leave Billing Rate blank and only track Cost Rate and Hours for cost monitoring.  |  © camsroy.com</t>
  </si>
  <si>
    <t>⏱  camsroy.com  |  TIME TRACKER  —  Hours Budgeted vs Actual vs Forecast</t>
  </si>
  <si>
    <t>Blue = Input (actual hours logged, remaining estimate). All other columns calculate automatically from Project Setup rates.</t>
  </si>
  <si>
    <t>⏱  HOURS &amp; BILLING TRACKER</t>
  </si>
  <si>
    <t>Billing
Rate (₹/hr)</t>
  </si>
  <si>
    <t>Cost
Rate (₹/hr)</t>
  </si>
  <si>
    <t>Budget
Hours</t>
  </si>
  <si>
    <t>Actual
Hours</t>
  </si>
  <si>
    <t>Remaining
(Est.)</t>
  </si>
  <si>
    <t>Forecast
Total Hrs</t>
  </si>
  <si>
    <t>Variance
(Hrs)</t>
  </si>
  <si>
    <t>Revenue
Billed (₹)</t>
  </si>
  <si>
    <t>Cost
Actual (₹)</t>
  </si>
  <si>
    <t>Cost
Forecast (₹)</t>
  </si>
  <si>
    <t>📊  BILLING SUMMARY</t>
  </si>
  <si>
    <t>Total Budgeted Revenue (hrs × billing rate)</t>
  </si>
  <si>
    <t>What you planned to bill for all team hours</t>
  </si>
  <si>
    <t>Total Revenue Billed to Date (actual hrs × rate)</t>
  </si>
  <si>
    <t>Actual billing earned so far</t>
  </si>
  <si>
    <t>Total Revenue at Forecast Completion</t>
  </si>
  <si>
    <t>Forecast billing at completion — compare to contracted value</t>
  </si>
  <si>
    <t>Billing Efficiency % (Actual / Budget Hours)</t>
  </si>
  <si>
    <t>Below 80% = significant unbilled time</t>
  </si>
  <si>
    <t>Unbilled Hours (Budget - Actual, if positive)</t>
  </si>
  <si>
    <t>Hours budgeted but not yet logged — opportunity to bill</t>
  </si>
  <si>
    <t>ℹ  Actual Hours and Remaining Estimate are the only inputs here. Everything else is calculated. For Fixed Fee projects, focus on cost columns K and L rather than revenue columns.  |  © camsroy.com</t>
  </si>
  <si>
    <t>💸  camsroy.com  |  COST TRACKER  —  Budget · Actual · Forecast to Complete · EAC</t>
  </si>
  <si>
    <t>Blue = Input. EAC = Actual + Forecast to Complete. Variance = Budget - EAC (positive=under, negative=overrun).</t>
  </si>
  <si>
    <t>👥  A. DIRECT STAFF COST</t>
  </si>
  <si>
    <t>Cost Category</t>
  </si>
  <si>
    <t>Budget (₹)</t>
  </si>
  <si>
    <t>Actual
to Date (₹)</t>
  </si>
  <si>
    <t>Forecast to
Complete (₹)</t>
  </si>
  <si>
    <t>Est. at
Completion (₹)</t>
  </si>
  <si>
    <t>Variance
(₹)</t>
  </si>
  <si>
    <t>Variance
(%)</t>
  </si>
  <si>
    <t>Status</t>
  </si>
  <si>
    <t>Staff / Team Cost (from Time Tracker)</t>
  </si>
  <si>
    <t>Additional Staff / Freelancer (manual)</t>
  </si>
  <si>
    <t>SECTION A TOTAL</t>
  </si>
  <si>
    <t>🤝  B. SUBCONTRACTORS &amp; OUTSOURCED WORK</t>
  </si>
  <si>
    <t>Subcontractor 1 (Cloud Setup Partner)</t>
  </si>
  <si>
    <t>Subcontractor 2 (Data Migration Vendor)</t>
  </si>
  <si>
    <t>Subcontractor 3</t>
  </si>
  <si>
    <t>SECTION B TOTAL</t>
  </si>
  <si>
    <t>✈  C. DIRECT EXPENSES</t>
  </si>
  <si>
    <t>Travel &amp; Accommodation</t>
  </si>
  <si>
    <t>Software / Tools / Licenses</t>
  </si>
  <si>
    <t>Materials / Consumables</t>
  </si>
  <si>
    <t>Other Direct Expenses</t>
  </si>
  <si>
    <t>SECTION C TOTAL</t>
  </si>
  <si>
    <t>🏢  D. OVERHEAD ALLOCATION</t>
  </si>
  <si>
    <t>Overhead Allocated (firm-wide costs apportioned to project)</t>
  </si>
  <si>
    <t>TOTAL PROJECT COST</t>
  </si>
  <si>
    <t>ℹ  Blue = Input. EAC = Actual to Date + Forecast to Complete (your current best estimate of remaining cost). Variance = Budget - EAC: positive means under budget, negative means overrun. Staff Cost in Section A links automatically from the Time Tracker — no manual entry needed.  |  © camsroy.com</t>
  </si>
  <si>
    <t>📊  camsroy.com  |  PROJECT P&amp;L  —  Revenue · Costs · Margin: Budget vs Actual vs Forecast</t>
  </si>
  <si>
    <t>All figures auto-populate from Cost Tracker and Time Tracker. Only Invoiced and Collected rows need manual input.</t>
  </si>
  <si>
    <t>💰  A. REVENUE</t>
  </si>
  <si>
    <t>Line Item</t>
  </si>
  <si>
    <t>Forecast at
Completion (₹)</t>
  </si>
  <si>
    <t>Variance (₹)</t>
  </si>
  <si>
    <t>Contracted / Quoted Value (ex-GST)</t>
  </si>
  <si>
    <t>Fixed Fee: uses contract value. T&amp;M: uses forecast hrs × billing rate from Time Tracker.</t>
  </si>
  <si>
    <t>Invoiced to Date (ex-GST)</t>
  </si>
  <si>
    <t>Enter actual invoiced amount</t>
  </si>
  <si>
    <t>Collected / Received to Date</t>
  </si>
  <si>
    <t>Variance = Collected - Invoiced (negative = outstanding debtors)</t>
  </si>
  <si>
    <t>Remaining to Invoice</t>
  </si>
  <si>
    <t>Contracted value not yet invoiced</t>
  </si>
  <si>
    <t>💸  B. COSTS (from Cost Tracker)</t>
  </si>
  <si>
    <t>EAC (₹)</t>
  </si>
  <si>
    <t>Direct Staff Cost</t>
  </si>
  <si>
    <t>From Time Tracker + manual staff</t>
  </si>
  <si>
    <t>Subcontractors</t>
  </si>
  <si>
    <t>Outsourced work</t>
  </si>
  <si>
    <t>Direct Expenses</t>
  </si>
  <si>
    <t>Travel, tools, materials</t>
  </si>
  <si>
    <t>Overhead Allocated</t>
  </si>
  <si>
    <t>Firm-wide cost apportionment</t>
  </si>
  <si>
    <t>📈  C. GROSS MARGIN — THE KEY NUMBERS</t>
  </si>
  <si>
    <t>Metric</t>
  </si>
  <si>
    <t>Budget</t>
  </si>
  <si>
    <t>Actual to Date</t>
  </si>
  <si>
    <t>Forecast at
Completion</t>
  </si>
  <si>
    <t>vs Budget</t>
  </si>
  <si>
    <t>GROSS MARGIN (₹)</t>
  </si>
  <si>
    <t>Budget GM vs Forecast GM ₹ difference</t>
  </si>
  <si>
    <t>GROSS MARGIN (%)</t>
  </si>
  <si>
    <t>Based on billed revenue only — can appear high early in project. Use Forecast GM% (col D) as the primary decision metric.</t>
  </si>
  <si>
    <t>Margin Erosion vs Budget</t>
  </si>
  <si>
    <t>ℹ  Column D (Forecast at Completion) is THE key number — it tells you where the project will end up, not where it is today. Margin Erosion = Forecast GM% minus Budget GM%. Any negative number means this project will be less profitable than you planned.  |  © camsroy.com</t>
  </si>
  <si>
    <t>🚦  camsroy.com  |  PROJECT PROFITABILITY DASHBOARD</t>
  </si>
  <si>
    <t>All metrics auto-populate. No manual entry needed on this page.</t>
  </si>
  <si>
    <t>PROJECT IDENTITY</t>
  </si>
  <si>
    <t>Project Name</t>
  </si>
  <si>
    <t>Client</t>
  </si>
  <si>
    <t>Forecast End Date</t>
  </si>
  <si>
    <t>Days Elapsed / Total Planned Days</t>
  </si>
  <si>
    <t>KEY FINANCIAL METRICS</t>
  </si>
  <si>
    <t>Forecast GM% at Completion</t>
  </si>
  <si>
    <t>THE key number — where this project will end up</t>
  </si>
  <si>
    <t>Negative = worse than budgeted</t>
  </si>
  <si>
    <t>Total Cost Variance (₹)</t>
  </si>
  <si>
    <t>Positive=under budget, negative=overrun</t>
  </si>
  <si>
    <t>Billing Efficiency %</t>
  </si>
  <si>
    <t>Actual hrs / budget hrs</t>
  </si>
  <si>
    <t>Invoiced to Date (₹)</t>
  </si>
  <si>
    <t>Remaining to Invoice (₹)</t>
  </si>
  <si>
    <t>Collected to Date (₹)</t>
  </si>
  <si>
    <t>COST TRACKER SUMMARY</t>
  </si>
  <si>
    <t>Category</t>
  </si>
  <si>
    <t>Actual</t>
  </si>
  <si>
    <t>EAC</t>
  </si>
  <si>
    <t>Staff Cost</t>
  </si>
  <si>
    <t>Overhead</t>
  </si>
  <si>
    <t>TOTAL</t>
  </si>
  <si>
    <t>ALERTS &amp; RECOMMENDED ACTIONS</t>
  </si>
  <si>
    <t>Margin Status</t>
  </si>
  <si>
    <t>Cost Status</t>
  </si>
  <si>
    <t>Billing Status</t>
  </si>
  <si>
    <t>Invoice Action</t>
  </si>
  <si>
    <t>📊  camsroy.com  |  HOW TO USE  —  Project Profitability Tracker</t>
  </si>
  <si>
    <t>STEP-BY-STEP GUIDE</t>
  </si>
  <si>
    <t xml:space="preserve">  Step 1 — PROJECT SETUP (fill once per project)</t>
  </si>
  <si>
    <t xml:space="preserve">    Enter project identity, contract value, GST rate, and team details. The Budgeted GM% and Budgeted Revenue auto-calculate. Set your Minimum Acceptable GM% threshold — this drives the RAG status throughout the workbook.</t>
  </si>
  <si>
    <t xml:space="preserve">  Step 2 — TIME TRACKER (update regularly)</t>
  </si>
  <si>
    <t xml:space="preserve">    Enter Actual Hours logged per team member and your Remaining Hours estimate. Everything else calculates automatically — Forecast Total Hours, Variance, Revenue Billed, and Cost. For Fixed Fee projects, ignore the Revenue columns and focus on cost columns K and L.</t>
  </si>
  <si>
    <t xml:space="preserve">  Step 3 — COST TRACKER (update as costs are incurred)</t>
  </si>
  <si>
    <t xml:space="preserve">    Enter Actual to Date and Forecast to Complete for each cost category. Estimated at Completion (EAC) = Actual + FTC — this is your current best estimate of where each cost line will end up. Staff Cost links automatically from the Time Tracker. Variance = Budget minus EAC: positive means under budget, negative means overrun.</t>
  </si>
  <si>
    <t xml:space="preserve">  Step 4 — PROJECT P&amp;L (read-only, review regularly)</t>
  </si>
  <si>
    <t xml:space="preserve">    This sheet auto-builds from everything above. Enter Invoiced to Date and Collected to Date (the only manual inputs here). The key number is Forecast GM% at Completion in Column D — this tells you where the project will end up, not just where it is today. Margin Erosion shows the gap vs what you budgeted.</t>
  </si>
  <si>
    <t xml:space="preserve">  Step 5 — DASHBOARD (share with management or client)</t>
  </si>
  <si>
    <t xml:space="preserve">    One-page summary with RAG status, all key KPIs, cost breakdown, and dynamic alert messages. The four alerts tell you exactly what action to take — escalate costs, raise an invoice, investigate billing efficiency, or confirm the project is on track.</t>
  </si>
  <si>
    <t>KEY CONCEPTS</t>
  </si>
  <si>
    <t xml:space="preserve">    Estimated at Completion (EAC) = Actual Cost to Date + Forecast to Complete. This is what the project will cost in total at current trajectory.</t>
  </si>
  <si>
    <t xml:space="preserve">    Forecast GM% at Completion = (Contract Value - Total EAC) / Contract Value. This is the single most important number in this template.</t>
  </si>
  <si>
    <t xml:space="preserve">    Margin Erosion = Forecast GM% - Budgeted GM%. Negative means you will earn less than you priced for — investigate scope creep, cost overruns, or underpricing.</t>
  </si>
  <si>
    <t xml:space="preserve">    Billing Efficiency = Actual Hours / Budgeted Hours. Below 80% typically means hours are being worked but not captured or billed.</t>
  </si>
  <si>
    <t xml:space="preserve">    Forecast to Complete (FTC) = your honest current estimate of remaining cost or hours. The accuracy of EAC depends entirely on the quality of your FTC estimate.</t>
  </si>
  <si>
    <t>HOW DIFFERENT FIRMS SHOULD USE THIS</t>
  </si>
  <si>
    <t xml:space="preserve">    CA Firms: Track engagement hours per partner/manager/article, fee agreed vs billed vs collected. Focus on billing efficiency and receivables.</t>
  </si>
  <si>
    <t xml:space="preserve">    IT / Software Firms: Track developer hours against sprint estimates, subcontractor costs, and license costs. EAC on hours is the early warning signal.</t>
  </si>
  <si>
    <t xml:space="preserve">    Agencies / Consultancies: Fixed-fee retainers — ignore billing rate columns, track only cost per category vs budget. Margin erosion from scope creep shows up immediately in EAC.</t>
  </si>
  <si>
    <t xml:space="preserve">    Contractors / Project Firms: Track material costs, labour, subcontractors. The four-category cost structure covers most construction and engineering project cost types.</t>
  </si>
  <si>
    <t>COMPANION TEMPLATES — camsroy.com</t>
  </si>
  <si>
    <t xml:space="preserve">    AR/AP Tracker Excel: tracks collections from clients — pairs with the Invoiced/Collected rows in this template</t>
  </si>
  <si>
    <t xml:space="preserve">    Working Capital Gap Calculator: if you run multiple projects, the combined WC gap shows your total funding need</t>
  </si>
  <si>
    <t xml:space="preserve">    Ratio Analysis / Financial Dashboard: company-level profitability — this template gives you the project-level detail that feeds into it</t>
  </si>
  <si>
    <t>Copyright 2025 camsroy.com  |  Free for personal and commercial use  |  www.camsroy.com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</si>
</sst>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9" x14ac:knownFonts="1">
    <font>
      <sz val="11"/>
      <color theme="1"/>
      <name val="Calibri"/>
      <family val="2"/>
      <charset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0"/>
      <color rgb="FF0D1B2A"/>
      <name val="Times New Roman"/>
      <family val="1"/>
    </font>
    <font>
      <b/>
      <sz val="10"/>
      <color rgb="FFFFFFFF"/>
      <name val="Times New Roman"/>
      <family val="1"/>
    </font>
    <font>
      <sz val="9"/>
      <color rgb="FF000000"/>
      <name val="Times New Roman"/>
      <family val="1"/>
    </font>
    <font>
      <i/>
      <sz val="8"/>
      <color rgb="FF555555"/>
      <name val="Times New Roman"/>
      <family val="1"/>
    </font>
    <font>
      <i/>
      <sz val="9"/>
      <color rgb="FF555555"/>
      <name val="Times New Roman"/>
      <family val="1"/>
    </font>
    <font>
      <b/>
      <sz val="9"/>
      <color rgb="FF0D1B2A"/>
      <name val="Times New Roman"/>
      <family val="1"/>
    </font>
    <font>
      <b/>
      <sz val="11"/>
      <color rgb="FF0D1B2A"/>
      <name val="Times New Roman"/>
      <family val="1"/>
    </font>
    <font>
      <b/>
      <sz val="11"/>
      <color rgb="FFFFFFFF"/>
      <name val="Times New Roman"/>
      <family val="1"/>
    </font>
    <font>
      <b/>
      <sz val="9"/>
      <color rgb="FFFFFFFF"/>
      <name val="Times New Roman"/>
      <family val="1"/>
    </font>
    <font>
      <b/>
      <sz val="9"/>
      <color rgb="FF117A65"/>
      <name val="Times New Roman"/>
      <family val="1"/>
    </font>
    <font>
      <sz val="9"/>
      <color rgb="FF0000FF"/>
      <name val="Times New Roman"/>
      <family val="1"/>
    </font>
    <font>
      <sz val="9"/>
      <color rgb="FF0D1B2A"/>
      <name val="Times New Roman"/>
      <family val="1"/>
    </font>
    <font>
      <b/>
      <sz val="9"/>
      <color rgb="FF0000FF"/>
      <name val="Times New Roman"/>
      <family val="1"/>
    </font>
    <font>
      <b/>
      <sz val="22"/>
      <color rgb="FFFFFFFF"/>
      <name val="Times New Roman"/>
      <family val="1"/>
    </font>
    <font>
      <i/>
      <sz val="9"/>
      <color rgb="FFF3E5F5"/>
      <name val="Times New Roman"/>
      <family val="1"/>
    </font>
    <font>
      <b/>
      <sz val="18"/>
      <color rgb="FFFFFFFF"/>
      <name val="Times New Roman"/>
      <family val="1"/>
    </font>
    <font>
      <b/>
      <sz val="12"/>
      <color rgb="FFAED6F1"/>
      <name val="Times New Roman"/>
      <family val="1"/>
    </font>
    <font>
      <i/>
      <sz val="10"/>
      <color rgb="FFD7BDE2"/>
      <name val="Times New Roman"/>
      <family val="1"/>
    </font>
    <font>
      <sz val="10"/>
      <color rgb="FFAED6F1"/>
      <name val="Times New Roman"/>
      <family val="1"/>
    </font>
    <font>
      <b/>
      <sz val="11"/>
      <color rgb="FFAED6F1"/>
      <name val="Times New Roman"/>
      <family val="1"/>
    </font>
    <font>
      <sz val="11"/>
      <color rgb="FFD4AC0D"/>
      <name val="Times New Roman"/>
      <family val="1"/>
    </font>
    <font>
      <sz val="9"/>
      <color rgb="FFBDC3C7"/>
      <name val="Times New Roman"/>
      <family val="1"/>
    </font>
    <font>
      <b/>
      <sz val="10"/>
      <color rgb="FFAED6F1"/>
      <name val="Times New Roman"/>
      <family val="1"/>
    </font>
    <font>
      <b/>
      <sz val="10"/>
      <color rgb="FFD4AC0D"/>
      <name val="Times New Roman"/>
      <family val="1"/>
    </font>
    <font>
      <b/>
      <sz val="9"/>
      <color rgb="FFD4AC0D"/>
      <name val="Times New Roman"/>
      <family val="1"/>
    </font>
    <font>
      <sz val="8"/>
      <color rgb="FF7F8C8D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0D1B2A"/>
        <bgColor rgb="FF000000"/>
      </patternFill>
    </fill>
    <fill>
      <patternFill patternType="solid">
        <fgColor rgb="FF6C3483"/>
        <bgColor rgb="FF993366"/>
      </patternFill>
    </fill>
    <fill>
      <patternFill patternType="solid">
        <fgColor rgb="FFD6EAF8"/>
        <bgColor rgb="FFD5F5E3"/>
      </patternFill>
    </fill>
    <fill>
      <patternFill patternType="solid">
        <fgColor rgb="FFD5F5E3"/>
        <bgColor rgb="FFD6EAF8"/>
      </patternFill>
    </fill>
    <fill>
      <patternFill patternType="solid">
        <fgColor rgb="FFD4AC0D"/>
        <bgColor rgb="FFFFCC00"/>
      </patternFill>
    </fill>
    <fill>
      <patternFill patternType="solid">
        <fgColor rgb="FFFDEDEC"/>
        <bgColor rgb="FFF2F3F4"/>
      </patternFill>
    </fill>
    <fill>
      <patternFill patternType="solid">
        <fgColor rgb="FFFCF3CF"/>
        <bgColor rgb="FFFDEDEC"/>
      </patternFill>
    </fill>
    <fill>
      <patternFill patternType="solid">
        <fgColor rgb="FFF2F3F4"/>
        <bgColor rgb="FFFDEDEC"/>
      </patternFill>
    </fill>
    <fill>
      <patternFill patternType="solid">
        <fgColor rgb="FF1B4F72"/>
        <bgColor rgb="FF333399"/>
      </patternFill>
    </fill>
    <fill>
      <patternFill patternType="solid">
        <fgColor rgb="FFA04000"/>
        <bgColor rgb="FF993366"/>
      </patternFill>
    </fill>
    <fill>
      <patternFill patternType="solid">
        <fgColor rgb="FF117A65"/>
        <bgColor rgb="FF0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E86C1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5" fillId="9" borderId="2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center" vertical="center" wrapText="1"/>
    </xf>
    <xf numFmtId="3" fontId="5" fillId="9" borderId="2" xfId="0" applyNumberFormat="1" applyFont="1" applyFill="1" applyBorder="1" applyAlignment="1">
      <alignment horizontal="right" vertical="center"/>
    </xf>
    <xf numFmtId="0" fontId="5" fillId="9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 indent="1"/>
    </xf>
    <xf numFmtId="3" fontId="11" fillId="2" borderId="2" xfId="0" applyNumberFormat="1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center" vertical="center" wrapText="1"/>
    </xf>
    <xf numFmtId="3" fontId="12" fillId="5" borderId="2" xfId="0" applyNumberFormat="1" applyFont="1" applyFill="1" applyBorder="1" applyAlignment="1">
      <alignment horizontal="right" vertical="center"/>
    </xf>
    <xf numFmtId="0" fontId="2" fillId="9" borderId="2" xfId="0" applyFont="1" applyFill="1" applyBorder="1"/>
    <xf numFmtId="0" fontId="6" fillId="8" borderId="2" xfId="0" applyFont="1" applyFill="1" applyBorder="1" applyAlignment="1">
      <alignment horizontal="left" vertical="center" wrapText="1" indent="1"/>
    </xf>
    <xf numFmtId="3" fontId="13" fillId="4" borderId="2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left" vertical="center" wrapText="1" indent="1"/>
    </xf>
    <xf numFmtId="0" fontId="6" fillId="9" borderId="2" xfId="0" applyFont="1" applyFill="1" applyBorder="1" applyAlignment="1">
      <alignment horizontal="left" vertical="center" wrapText="1" indent="1"/>
    </xf>
    <xf numFmtId="0" fontId="8" fillId="8" borderId="2" xfId="0" applyFont="1" applyFill="1" applyBorder="1" applyAlignment="1">
      <alignment horizontal="left" vertical="center" wrapText="1" indent="1"/>
    </xf>
    <xf numFmtId="0" fontId="2" fillId="8" borderId="2" xfId="0" applyFont="1" applyFill="1" applyBorder="1"/>
    <xf numFmtId="3" fontId="8" fillId="8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wrapText="1" indent="1"/>
    </xf>
    <xf numFmtId="3" fontId="4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/>
    <xf numFmtId="0" fontId="10" fillId="2" borderId="2" xfId="0" applyFont="1" applyFill="1" applyBorder="1" applyAlignment="1">
      <alignment horizontal="left" vertical="center" wrapText="1" indent="1"/>
    </xf>
    <xf numFmtId="3" fontId="10" fillId="2" borderId="2" xfId="0" applyNumberFormat="1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right" vertical="center"/>
    </xf>
    <xf numFmtId="0" fontId="2" fillId="6" borderId="2" xfId="0" applyFont="1" applyFill="1" applyBorder="1"/>
    <xf numFmtId="164" fontId="12" fillId="5" borderId="2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 wrapText="1" indent="1"/>
    </xf>
    <xf numFmtId="3" fontId="11" fillId="3" borderId="2" xfId="0" applyNumberFormat="1" applyFont="1" applyFill="1" applyBorder="1" applyAlignment="1">
      <alignment horizontal="right" vertical="center"/>
    </xf>
    <xf numFmtId="164" fontId="11" fillId="3" borderId="2" xfId="0" applyNumberFormat="1" applyFont="1" applyFill="1" applyBorder="1" applyAlignment="1">
      <alignment horizontal="right" vertical="center"/>
    </xf>
    <xf numFmtId="3" fontId="14" fillId="9" borderId="2" xfId="0" applyNumberFormat="1" applyFont="1" applyFill="1" applyBorder="1" applyAlignment="1">
      <alignment horizontal="right" vertical="center"/>
    </xf>
    <xf numFmtId="3" fontId="14" fillId="5" borderId="2" xfId="0" applyNumberFormat="1" applyFont="1" applyFill="1" applyBorder="1" applyAlignment="1">
      <alignment horizontal="right" vertical="center"/>
    </xf>
    <xf numFmtId="0" fontId="8" fillId="9" borderId="2" xfId="0" applyFont="1" applyFill="1" applyBorder="1" applyAlignment="1">
      <alignment horizontal="left" vertical="center" wrapText="1" indent="1"/>
    </xf>
    <xf numFmtId="0" fontId="13" fillId="4" borderId="2" xfId="0" applyFont="1" applyFill="1" applyBorder="1" applyAlignment="1">
      <alignment horizontal="left" vertical="center" wrapText="1" indent="1"/>
    </xf>
    <xf numFmtId="3" fontId="15" fillId="4" borderId="2" xfId="0" applyNumberFormat="1" applyFont="1" applyFill="1" applyBorder="1" applyAlignment="1">
      <alignment horizontal="right" vertical="center"/>
    </xf>
    <xf numFmtId="164" fontId="15" fillId="4" borderId="2" xfId="0" applyNumberFormat="1" applyFont="1" applyFill="1" applyBorder="1" applyAlignment="1">
      <alignment horizontal="right" vertical="center"/>
    </xf>
    <xf numFmtId="0" fontId="6" fillId="9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7" fillId="9" borderId="0" xfId="0" applyFont="1" applyFill="1" applyAlignment="1">
      <alignment horizontal="left" vertical="center" wrapText="1" indent="1"/>
    </xf>
    <xf numFmtId="0" fontId="4" fillId="10" borderId="0" xfId="0" applyFont="1" applyFill="1" applyAlignment="1">
      <alignment horizontal="left" vertical="center" wrapText="1" indent="1"/>
    </xf>
    <xf numFmtId="0" fontId="4" fillId="11" borderId="0" xfId="0" applyFont="1" applyFill="1" applyAlignment="1">
      <alignment horizontal="left" vertical="center" wrapText="1" indent="1"/>
    </xf>
    <xf numFmtId="0" fontId="4" fillId="12" borderId="0" xfId="0" applyFont="1" applyFill="1" applyAlignment="1">
      <alignment horizontal="left" vertical="center" wrapText="1" indent="1"/>
    </xf>
    <xf numFmtId="3" fontId="3" fillId="6" borderId="3" xfId="0" applyNumberFormat="1" applyFont="1" applyFill="1" applyBorder="1" applyAlignment="1">
      <alignment horizontal="right" vertical="center"/>
    </xf>
    <xf numFmtId="164" fontId="3" fillId="6" borderId="3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 wrapText="1" indent="1"/>
    </xf>
    <xf numFmtId="0" fontId="2" fillId="6" borderId="0" xfId="0" applyFont="1" applyFill="1"/>
    <xf numFmtId="0" fontId="4" fillId="2" borderId="0" xfId="0" applyFont="1" applyFill="1" applyAlignment="1">
      <alignment horizontal="left" vertical="center" wrapText="1" indent="1"/>
    </xf>
    <xf numFmtId="0" fontId="8" fillId="8" borderId="3" xfId="0" applyFont="1" applyFill="1" applyBorder="1" applyAlignment="1">
      <alignment horizontal="left" vertical="center" wrapText="1" indent="1"/>
    </xf>
    <xf numFmtId="3" fontId="9" fillId="8" borderId="2" xfId="0" applyNumberFormat="1" applyFont="1" applyFill="1" applyBorder="1" applyAlignment="1">
      <alignment horizontal="left" vertical="center" wrapText="1" indent="1"/>
    </xf>
    <xf numFmtId="3" fontId="9" fillId="9" borderId="2" xfId="0" applyNumberFormat="1" applyFont="1" applyFill="1" applyBorder="1" applyAlignment="1">
      <alignment horizontal="left" vertical="center" wrapText="1" indent="1"/>
    </xf>
    <xf numFmtId="3" fontId="9" fillId="5" borderId="2" xfId="0" applyNumberFormat="1" applyFont="1" applyFill="1" applyBorder="1" applyAlignment="1">
      <alignment horizontal="left" vertical="center" wrapText="1" indent="1"/>
    </xf>
    <xf numFmtId="164" fontId="9" fillId="4" borderId="2" xfId="0" applyNumberFormat="1" applyFont="1" applyFill="1" applyBorder="1" applyAlignment="1">
      <alignment horizontal="left" vertical="center" wrapText="1" indent="1"/>
    </xf>
    <xf numFmtId="0" fontId="10" fillId="11" borderId="0" xfId="0" applyFont="1" applyFill="1" applyAlignment="1">
      <alignment horizontal="left" vertical="center" wrapText="1" indent="1"/>
    </xf>
    <xf numFmtId="164" fontId="9" fillId="6" borderId="2" xfId="0" applyNumberFormat="1" applyFont="1" applyFill="1" applyBorder="1" applyAlignment="1">
      <alignment horizontal="left" vertical="center" wrapText="1" indent="1"/>
    </xf>
    <xf numFmtId="164" fontId="9" fillId="7" borderId="2" xfId="0" applyNumberFormat="1" applyFont="1" applyFill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2" fillId="9" borderId="0" xfId="0" applyFont="1" applyFill="1"/>
    <xf numFmtId="0" fontId="5" fillId="9" borderId="2" xfId="0" applyFont="1" applyFill="1" applyBorder="1" applyAlignment="1">
      <alignment horizontal="left" vertical="center" wrapText="1" indent="1"/>
    </xf>
    <xf numFmtId="0" fontId="5" fillId="9" borderId="0" xfId="0" applyFont="1" applyFill="1" applyAlignment="1">
      <alignment horizontal="left" vertical="center" wrapText="1" indent="2"/>
    </xf>
    <xf numFmtId="0" fontId="6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left" vertical="center" wrapText="1" indent="1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21" fillId="2" borderId="0" xfId="0" applyFont="1" applyFill="1" applyAlignment="1" applyProtection="1">
      <alignment horizontal="left" vertical="center" wrapText="1" indent="1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22" fillId="2" borderId="0" xfId="0" applyFont="1" applyFill="1" applyAlignment="1" applyProtection="1">
      <alignment horizontal="left" vertical="center" wrapText="1"/>
      <protection locked="0"/>
    </xf>
    <xf numFmtId="0" fontId="23" fillId="2" borderId="0" xfId="0" applyFont="1" applyFill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left" vertical="center" wrapText="1" indent="1"/>
      <protection locked="0"/>
    </xf>
    <xf numFmtId="0" fontId="25" fillId="2" borderId="0" xfId="0" applyFont="1" applyFill="1" applyAlignment="1" applyProtection="1">
      <alignment horizontal="left" vertical="center" wrapText="1"/>
      <protection locked="0"/>
    </xf>
    <xf numFmtId="0" fontId="2" fillId="4" borderId="0" xfId="0" applyFont="1" applyFill="1" applyProtection="1">
      <protection locked="0"/>
    </xf>
    <xf numFmtId="0" fontId="24" fillId="2" borderId="0" xfId="0" applyFont="1" applyFill="1" applyAlignment="1" applyProtection="1">
      <alignment horizontal="left" vertical="center" wrapText="1" indent="1"/>
      <protection locked="0"/>
    </xf>
    <xf numFmtId="0" fontId="2" fillId="5" borderId="0" xfId="0" applyFont="1" applyFill="1" applyProtection="1">
      <protection locked="0"/>
    </xf>
    <xf numFmtId="0" fontId="2" fillId="6" borderId="0" xfId="0" applyFont="1" applyFill="1" applyProtection="1">
      <protection locked="0"/>
    </xf>
    <xf numFmtId="0" fontId="2" fillId="7" borderId="0" xfId="0" applyFont="1" applyFill="1" applyProtection="1">
      <protection locked="0"/>
    </xf>
    <xf numFmtId="0" fontId="2" fillId="8" borderId="0" xfId="0" applyFont="1" applyFill="1" applyProtection="1">
      <protection locked="0"/>
    </xf>
    <xf numFmtId="0" fontId="26" fillId="2" borderId="0" xfId="0" applyFont="1" applyFill="1" applyAlignment="1" applyProtection="1">
      <alignment horizontal="left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Protection="1"/>
    <xf numFmtId="0" fontId="16" fillId="2" borderId="0" xfId="0" applyFont="1" applyFill="1" applyAlignment="1" applyProtection="1">
      <alignment horizontal="left" vertical="center" wrapText="1"/>
    </xf>
    <xf numFmtId="0" fontId="2" fillId="3" borderId="0" xfId="0" applyFont="1" applyFill="1" applyProtection="1"/>
    <xf numFmtId="0" fontId="17" fillId="3" borderId="0" xfId="0" applyFont="1" applyFill="1" applyAlignment="1" applyProtection="1">
      <alignment horizontal="left" vertical="center" wrapText="1" indent="1"/>
    </xf>
    <xf numFmtId="0" fontId="18" fillId="2" borderId="0" xfId="0" applyFont="1" applyFill="1" applyAlignment="1" applyProtection="1">
      <alignment horizontal="left" vertical="center" wrapText="1"/>
    </xf>
    <xf numFmtId="0" fontId="19" fillId="2" borderId="0" xfId="0" applyFont="1" applyFill="1" applyAlignment="1" applyProtection="1">
      <alignment horizontal="left" vertical="center" wrapText="1"/>
    </xf>
    <xf numFmtId="0" fontId="20" fillId="2" borderId="0" xfId="0" applyFont="1" applyFill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17A65"/>
      <rgbColor rgb="FFBDBDBD"/>
      <rgbColor rgb="FF7F8C8D"/>
      <rgbColor rgb="FF9999FF"/>
      <rgbColor rgb="FF6C3483"/>
      <rgbColor rgb="FFFCF3CF"/>
      <rgbColor rgb="FFD6EAF8"/>
      <rgbColor rgb="FF660066"/>
      <rgbColor rgb="FFFF8080"/>
      <rgbColor rgb="FF0066CC"/>
      <rgbColor rgb="FFD7BD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4"/>
      <rgbColor rgb="FFD5F5E3"/>
      <rgbColor rgb="FFFDEDEC"/>
      <rgbColor rgb="FFAED6F1"/>
      <rgbColor rgb="FFFF99CC"/>
      <rgbColor rgb="FFBDC3C7"/>
      <rgbColor rgb="FFF3E5F5"/>
      <rgbColor rgb="FF2E86C1"/>
      <rgbColor rgb="FF33CCCC"/>
      <rgbColor rgb="FF99CC00"/>
      <rgbColor rgb="FFFFCC00"/>
      <rgbColor rgb="FFD4AC0D"/>
      <rgbColor rgb="FFFF6600"/>
      <rgbColor rgb="FF555555"/>
      <rgbColor rgb="FF969696"/>
      <rgbColor rgb="FF1B4F72"/>
      <rgbColor rgb="FF339966"/>
      <rgbColor rgb="FF0D1B2A"/>
      <rgbColor rgb="FF333300"/>
      <rgbColor rgb="FFA040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1B2A"/>
  </sheetPr>
  <dimension ref="A1:E59"/>
  <sheetViews>
    <sheetView tabSelected="1" zoomScaleNormal="100" workbookViewId="0">
      <selection sqref="A1:E12"/>
    </sheetView>
  </sheetViews>
  <sheetFormatPr defaultColWidth="8.7109375" defaultRowHeight="15" x14ac:dyDescent="0.25"/>
  <cols>
    <col min="1" max="1" width="3" style="63" customWidth="1"/>
    <col min="2" max="2" width="32" style="63" customWidth="1"/>
    <col min="3" max="3" width="58" style="63" customWidth="1"/>
    <col min="4" max="4" width="5" style="63" customWidth="1"/>
    <col min="5" max="16384" width="8.7109375" style="63"/>
  </cols>
  <sheetData>
    <row r="1" spans="1:5" ht="18" customHeight="1" x14ac:dyDescent="0.25">
      <c r="A1" s="80"/>
      <c r="B1" s="80"/>
      <c r="C1" s="80"/>
      <c r="D1" s="80"/>
      <c r="E1" s="80"/>
    </row>
    <row r="2" spans="1:5" ht="31.5" customHeight="1" x14ac:dyDescent="0.25">
      <c r="A2" s="80"/>
      <c r="B2" s="81" t="s">
        <v>0</v>
      </c>
      <c r="C2" s="81"/>
      <c r="D2" s="80"/>
      <c r="E2" s="80"/>
    </row>
    <row r="3" spans="1:5" ht="27.75" customHeight="1" x14ac:dyDescent="0.25">
      <c r="A3" s="80"/>
      <c r="B3" s="81"/>
      <c r="C3" s="81"/>
      <c r="D3" s="80"/>
      <c r="E3" s="80"/>
    </row>
    <row r="4" spans="1:5" ht="18" customHeight="1" x14ac:dyDescent="0.25">
      <c r="A4" s="82"/>
      <c r="B4" s="83" t="s">
        <v>1</v>
      </c>
      <c r="C4" s="83"/>
      <c r="D4" s="82"/>
      <c r="E4" s="82"/>
    </row>
    <row r="5" spans="1:5" ht="18" customHeight="1" x14ac:dyDescent="0.25">
      <c r="A5" s="82"/>
      <c r="B5" s="83"/>
      <c r="C5" s="83"/>
      <c r="D5" s="82"/>
      <c r="E5" s="82"/>
    </row>
    <row r="6" spans="1:5" ht="18" customHeight="1" x14ac:dyDescent="0.25">
      <c r="A6" s="80"/>
      <c r="B6" s="80"/>
      <c r="C6" s="80"/>
      <c r="D6" s="80"/>
      <c r="E6" s="80"/>
    </row>
    <row r="7" spans="1:5" ht="7.5" customHeight="1" x14ac:dyDescent="0.25">
      <c r="A7" s="80"/>
      <c r="B7" s="80"/>
      <c r="C7" s="80"/>
      <c r="D7" s="80"/>
      <c r="E7" s="80"/>
    </row>
    <row r="8" spans="1:5" ht="31.5" customHeight="1" x14ac:dyDescent="0.25">
      <c r="A8" s="80"/>
      <c r="B8" s="84" t="s">
        <v>2</v>
      </c>
      <c r="C8" s="84"/>
      <c r="D8" s="80"/>
      <c r="E8" s="80"/>
    </row>
    <row r="9" spans="1:5" ht="27.75" customHeight="1" x14ac:dyDescent="0.25">
      <c r="A9" s="80"/>
      <c r="B9" s="84"/>
      <c r="C9" s="84"/>
      <c r="D9" s="80"/>
      <c r="E9" s="80"/>
    </row>
    <row r="10" spans="1:5" ht="21.75" customHeight="1" x14ac:dyDescent="0.25">
      <c r="A10" s="80"/>
      <c r="B10" s="85" t="s">
        <v>3</v>
      </c>
      <c r="C10" s="85"/>
      <c r="D10" s="80"/>
      <c r="E10" s="80"/>
    </row>
    <row r="11" spans="1:5" ht="18" customHeight="1" x14ac:dyDescent="0.25">
      <c r="A11" s="80"/>
      <c r="B11" s="86" t="s">
        <v>4</v>
      </c>
      <c r="C11" s="86"/>
      <c r="D11" s="80"/>
      <c r="E11" s="80"/>
    </row>
    <row r="12" spans="1:5" ht="18" customHeight="1" x14ac:dyDescent="0.25">
      <c r="A12" s="80"/>
      <c r="B12" s="80"/>
      <c r="C12" s="80"/>
      <c r="D12" s="80"/>
      <c r="E12" s="80"/>
    </row>
    <row r="13" spans="1:5" ht="3" customHeight="1" x14ac:dyDescent="0.25">
      <c r="A13" s="62"/>
      <c r="B13" s="64"/>
      <c r="C13" s="64"/>
      <c r="D13" s="64"/>
      <c r="E13" s="62"/>
    </row>
    <row r="14" spans="1:5" ht="18" customHeight="1" x14ac:dyDescent="0.25">
      <c r="A14" s="62"/>
      <c r="B14" s="62"/>
      <c r="C14" s="62"/>
      <c r="D14" s="62"/>
      <c r="E14" s="62"/>
    </row>
    <row r="15" spans="1:5" ht="19.5" customHeight="1" x14ac:dyDescent="0.25">
      <c r="A15" s="62"/>
      <c r="B15" s="65" t="s">
        <v>5</v>
      </c>
      <c r="C15" s="66" t="s">
        <v>6</v>
      </c>
      <c r="D15" s="62"/>
      <c r="E15" s="62"/>
    </row>
    <row r="16" spans="1:5" ht="19.5" customHeight="1" x14ac:dyDescent="0.25">
      <c r="A16" s="62"/>
      <c r="B16" s="65" t="s">
        <v>7</v>
      </c>
      <c r="C16" s="66" t="s">
        <v>8</v>
      </c>
      <c r="D16" s="62"/>
      <c r="E16" s="62"/>
    </row>
    <row r="17" spans="1:5" ht="19.5" customHeight="1" x14ac:dyDescent="0.25">
      <c r="A17" s="62"/>
      <c r="B17" s="65" t="s">
        <v>9</v>
      </c>
      <c r="C17" s="66" t="s">
        <v>10</v>
      </c>
      <c r="D17" s="62"/>
      <c r="E17" s="62"/>
    </row>
    <row r="18" spans="1:5" ht="19.5" customHeight="1" x14ac:dyDescent="0.25">
      <c r="A18" s="62"/>
      <c r="B18" s="65" t="s">
        <v>11</v>
      </c>
      <c r="C18" s="66" t="s">
        <v>12</v>
      </c>
      <c r="D18" s="62"/>
      <c r="E18" s="62"/>
    </row>
    <row r="19" spans="1:5" ht="19.5" customHeight="1" x14ac:dyDescent="0.25">
      <c r="A19" s="62"/>
      <c r="B19" s="65" t="s">
        <v>13</v>
      </c>
      <c r="C19" s="66" t="s">
        <v>14</v>
      </c>
      <c r="D19" s="62"/>
      <c r="E19" s="62"/>
    </row>
    <row r="20" spans="1:5" ht="18" customHeight="1" x14ac:dyDescent="0.25">
      <c r="A20" s="62"/>
      <c r="B20" s="62"/>
      <c r="C20" s="62"/>
      <c r="D20" s="62"/>
      <c r="E20" s="62"/>
    </row>
    <row r="21" spans="1:5" ht="7.5" customHeight="1" x14ac:dyDescent="0.25">
      <c r="A21" s="62"/>
      <c r="B21" s="62"/>
      <c r="C21" s="62"/>
      <c r="D21" s="62"/>
      <c r="E21" s="62"/>
    </row>
    <row r="22" spans="1:5" ht="21.75" customHeight="1" x14ac:dyDescent="0.25">
      <c r="A22" s="62"/>
      <c r="B22" s="67" t="s">
        <v>15</v>
      </c>
      <c r="C22" s="67"/>
      <c r="D22" s="62"/>
      <c r="E22" s="62"/>
    </row>
    <row r="23" spans="1:5" ht="34.5" customHeight="1" x14ac:dyDescent="0.25">
      <c r="A23" s="62"/>
      <c r="B23" s="68" t="s">
        <v>16</v>
      </c>
      <c r="C23" s="69" t="s">
        <v>17</v>
      </c>
      <c r="D23" s="62"/>
      <c r="E23" s="62"/>
    </row>
    <row r="24" spans="1:5" ht="33.75" customHeight="1" x14ac:dyDescent="0.25">
      <c r="A24" s="62"/>
      <c r="B24" s="68" t="s">
        <v>18</v>
      </c>
      <c r="C24" s="69" t="s">
        <v>19</v>
      </c>
      <c r="D24" s="62"/>
      <c r="E24" s="62"/>
    </row>
    <row r="25" spans="1:5" ht="33.75" customHeight="1" x14ac:dyDescent="0.25">
      <c r="A25" s="62"/>
      <c r="B25" s="68" t="s">
        <v>20</v>
      </c>
      <c r="C25" s="69" t="s">
        <v>21</v>
      </c>
      <c r="D25" s="62"/>
      <c r="E25" s="62"/>
    </row>
    <row r="26" spans="1:5" ht="36" customHeight="1" x14ac:dyDescent="0.25">
      <c r="A26" s="62"/>
      <c r="B26" s="68" t="s">
        <v>22</v>
      </c>
      <c r="C26" s="69" t="s">
        <v>23</v>
      </c>
      <c r="D26" s="62"/>
      <c r="E26" s="62"/>
    </row>
    <row r="27" spans="1:5" ht="36" customHeight="1" x14ac:dyDescent="0.25">
      <c r="A27" s="62"/>
      <c r="B27" s="68" t="s">
        <v>24</v>
      </c>
      <c r="C27" s="69" t="s">
        <v>25</v>
      </c>
      <c r="D27" s="62"/>
      <c r="E27" s="62"/>
    </row>
    <row r="28" spans="1:5" ht="33.75" customHeight="1" x14ac:dyDescent="0.25">
      <c r="A28" s="62"/>
      <c r="B28" s="68" t="s">
        <v>26</v>
      </c>
      <c r="C28" s="69" t="s">
        <v>27</v>
      </c>
      <c r="D28" s="62"/>
      <c r="E28" s="62"/>
    </row>
    <row r="29" spans="1:5" ht="18" customHeight="1" x14ac:dyDescent="0.25">
      <c r="A29" s="62"/>
      <c r="B29" s="62"/>
      <c r="C29" s="62"/>
      <c r="D29" s="62"/>
      <c r="E29" s="62"/>
    </row>
    <row r="30" spans="1:5" ht="18" customHeight="1" x14ac:dyDescent="0.25">
      <c r="A30" s="62"/>
      <c r="B30" s="62"/>
      <c r="C30" s="62"/>
      <c r="D30" s="62"/>
      <c r="E30" s="62"/>
    </row>
    <row r="31" spans="1:5" ht="7.5" customHeight="1" x14ac:dyDescent="0.25">
      <c r="A31" s="62"/>
      <c r="B31" s="62"/>
      <c r="C31" s="62"/>
      <c r="D31" s="62"/>
      <c r="E31" s="62"/>
    </row>
    <row r="32" spans="1:5" ht="19.5" customHeight="1" x14ac:dyDescent="0.25">
      <c r="A32" s="62"/>
      <c r="B32" s="70" t="s">
        <v>28</v>
      </c>
      <c r="C32" s="70"/>
      <c r="D32" s="62"/>
      <c r="E32" s="62"/>
    </row>
    <row r="33" spans="1:5" ht="18" customHeight="1" x14ac:dyDescent="0.25">
      <c r="A33" s="62"/>
      <c r="B33" s="71"/>
      <c r="C33" s="72" t="s">
        <v>29</v>
      </c>
      <c r="D33" s="72"/>
      <c r="E33" s="62"/>
    </row>
    <row r="34" spans="1:5" ht="18" customHeight="1" x14ac:dyDescent="0.25">
      <c r="A34" s="62"/>
      <c r="B34" s="73"/>
      <c r="C34" s="72" t="s">
        <v>30</v>
      </c>
      <c r="D34" s="72"/>
      <c r="E34" s="62"/>
    </row>
    <row r="35" spans="1:5" ht="18" customHeight="1" x14ac:dyDescent="0.25">
      <c r="A35" s="62"/>
      <c r="B35" s="74"/>
      <c r="C35" s="72" t="s">
        <v>31</v>
      </c>
      <c r="D35" s="72"/>
      <c r="E35" s="62"/>
    </row>
    <row r="36" spans="1:5" ht="18" customHeight="1" x14ac:dyDescent="0.25">
      <c r="A36" s="62"/>
      <c r="B36" s="75"/>
      <c r="C36" s="72" t="s">
        <v>32</v>
      </c>
      <c r="D36" s="72"/>
      <c r="E36" s="62"/>
    </row>
    <row r="37" spans="1:5" ht="18" customHeight="1" x14ac:dyDescent="0.25">
      <c r="A37" s="62"/>
      <c r="B37" s="76"/>
      <c r="C37" s="72" t="s">
        <v>33</v>
      </c>
      <c r="D37" s="72"/>
      <c r="E37" s="62"/>
    </row>
    <row r="38" spans="1:5" ht="18" customHeight="1" x14ac:dyDescent="0.25">
      <c r="A38" s="62"/>
      <c r="B38" s="62"/>
      <c r="C38" s="62"/>
      <c r="D38" s="62"/>
      <c r="E38" s="62"/>
    </row>
    <row r="39" spans="1:5" ht="19.5" customHeight="1" x14ac:dyDescent="0.25">
      <c r="A39" s="62"/>
      <c r="B39" s="77" t="s">
        <v>34</v>
      </c>
      <c r="C39" s="77"/>
      <c r="D39" s="62"/>
      <c r="E39" s="62"/>
    </row>
    <row r="40" spans="1:5" ht="16.5" customHeight="1" x14ac:dyDescent="0.25">
      <c r="A40" s="62"/>
      <c r="B40" s="78" t="s">
        <v>35</v>
      </c>
      <c r="C40" s="72" t="s">
        <v>36</v>
      </c>
      <c r="D40" s="72"/>
      <c r="E40" s="62"/>
    </row>
    <row r="41" spans="1:5" ht="16.5" customHeight="1" x14ac:dyDescent="0.25">
      <c r="A41" s="62"/>
      <c r="B41" s="78" t="s">
        <v>35</v>
      </c>
      <c r="C41" s="72" t="s">
        <v>37</v>
      </c>
      <c r="D41" s="72"/>
      <c r="E41" s="62"/>
    </row>
    <row r="42" spans="1:5" ht="16.5" customHeight="1" x14ac:dyDescent="0.25">
      <c r="A42" s="62"/>
      <c r="B42" s="78" t="s">
        <v>35</v>
      </c>
      <c r="C42" s="72" t="s">
        <v>38</v>
      </c>
      <c r="D42" s="72"/>
      <c r="E42" s="62"/>
    </row>
    <row r="43" spans="1:5" ht="29.25" customHeight="1" x14ac:dyDescent="0.25">
      <c r="A43" s="62"/>
      <c r="B43" s="78" t="s">
        <v>35</v>
      </c>
      <c r="C43" s="72" t="s">
        <v>39</v>
      </c>
      <c r="D43" s="72"/>
      <c r="E43" s="62"/>
    </row>
    <row r="44" spans="1:5" ht="34.5" customHeight="1" x14ac:dyDescent="0.25">
      <c r="A44" s="62"/>
      <c r="B44" s="78" t="s">
        <v>35</v>
      </c>
      <c r="C44" s="72" t="s">
        <v>40</v>
      </c>
      <c r="D44" s="72"/>
      <c r="E44" s="62"/>
    </row>
    <row r="45" spans="1:5" ht="30.75" customHeight="1" x14ac:dyDescent="0.25">
      <c r="A45" s="62"/>
      <c r="B45" s="78" t="s">
        <v>35</v>
      </c>
      <c r="C45" s="72" t="s">
        <v>41</v>
      </c>
      <c r="D45" s="72"/>
      <c r="E45" s="62"/>
    </row>
    <row r="46" spans="1:5" ht="18" customHeight="1" x14ac:dyDescent="0.25">
      <c r="A46" s="62"/>
      <c r="B46" s="62"/>
      <c r="C46" s="62"/>
      <c r="D46" s="62"/>
      <c r="E46" s="62"/>
    </row>
    <row r="47" spans="1:5" ht="18" customHeight="1" x14ac:dyDescent="0.25">
      <c r="A47" s="62"/>
      <c r="B47" s="62"/>
      <c r="C47" s="62"/>
      <c r="D47" s="62"/>
      <c r="E47" s="62"/>
    </row>
    <row r="48" spans="1:5" ht="18" customHeight="1" x14ac:dyDescent="0.25">
      <c r="A48" s="62"/>
      <c r="B48" s="62"/>
      <c r="C48" s="62"/>
      <c r="D48" s="62"/>
      <c r="E48" s="62"/>
    </row>
    <row r="49" spans="1:5" ht="18" customHeight="1" x14ac:dyDescent="0.25">
      <c r="A49" s="62"/>
      <c r="B49" s="62"/>
      <c r="C49" s="62"/>
      <c r="D49" s="62"/>
      <c r="E49" s="62"/>
    </row>
    <row r="50" spans="1:5" ht="18" customHeight="1" x14ac:dyDescent="0.25">
      <c r="A50" s="62"/>
      <c r="B50" s="62"/>
      <c r="C50" s="62"/>
      <c r="D50" s="62"/>
      <c r="E50" s="62"/>
    </row>
    <row r="51" spans="1:5" ht="18" customHeight="1" x14ac:dyDescent="0.25">
      <c r="A51" s="62"/>
      <c r="B51" s="62"/>
      <c r="C51" s="62"/>
      <c r="D51" s="62"/>
      <c r="E51" s="62"/>
    </row>
    <row r="52" spans="1:5" ht="18" customHeight="1" x14ac:dyDescent="0.25">
      <c r="A52" s="62"/>
      <c r="B52" s="62"/>
      <c r="C52" s="62"/>
      <c r="D52" s="62"/>
      <c r="E52" s="62"/>
    </row>
    <row r="53" spans="1:5" ht="18" customHeight="1" x14ac:dyDescent="0.25">
      <c r="A53" s="62"/>
      <c r="B53" s="62"/>
      <c r="C53" s="62"/>
      <c r="D53" s="62"/>
      <c r="E53" s="62"/>
    </row>
    <row r="54" spans="1:5" ht="18" customHeight="1" x14ac:dyDescent="0.25">
      <c r="A54" s="62"/>
      <c r="B54" s="62"/>
      <c r="C54" s="62"/>
      <c r="D54" s="62"/>
      <c r="E54" s="62"/>
    </row>
    <row r="55" spans="1:5" ht="18" customHeight="1" x14ac:dyDescent="0.25">
      <c r="A55" s="62"/>
      <c r="B55" s="62"/>
      <c r="C55" s="62"/>
      <c r="D55" s="62"/>
      <c r="E55" s="62"/>
    </row>
    <row r="56" spans="1:5" ht="18" customHeight="1" x14ac:dyDescent="0.25">
      <c r="A56" s="62"/>
      <c r="B56" s="62"/>
      <c r="C56" s="62"/>
      <c r="D56" s="62"/>
      <c r="E56" s="62"/>
    </row>
    <row r="57" spans="1:5" ht="18" customHeight="1" x14ac:dyDescent="0.25">
      <c r="A57" s="62"/>
      <c r="B57" s="62"/>
      <c r="C57" s="62"/>
      <c r="D57" s="62"/>
      <c r="E57" s="62"/>
    </row>
    <row r="58" spans="1:5" ht="15.75" customHeight="1" x14ac:dyDescent="0.25">
      <c r="A58" s="62"/>
      <c r="B58" s="79" t="s">
        <v>42</v>
      </c>
      <c r="C58" s="79"/>
      <c r="D58" s="62"/>
      <c r="E58" s="62"/>
    </row>
    <row r="59" spans="1:5" ht="18" customHeight="1" x14ac:dyDescent="0.25">
      <c r="A59" s="62"/>
      <c r="B59" s="62"/>
      <c r="C59" s="62"/>
      <c r="D59" s="62"/>
      <c r="E59" s="62"/>
    </row>
  </sheetData>
  <sheetProtection algorithmName="SHA-512" hashValue="5voig1PCR8+GiYSIzBudPthXS9oK1KkfziaUHxtuqqbGHXggILRimSNiXce2pCDK0YWttSDYEX9XPVQBGBF2Ag==" saltValue="oGz0x/8ZB4D3CPixDKRdmg==" spinCount="100000" sheet="1" objects="1" scenarios="1"/>
  <mergeCells count="20">
    <mergeCell ref="B2:C3"/>
    <mergeCell ref="B4:C5"/>
    <mergeCell ref="B8:C9"/>
    <mergeCell ref="B10:C10"/>
    <mergeCell ref="B11:C11"/>
    <mergeCell ref="B22:C22"/>
    <mergeCell ref="B32:C32"/>
    <mergeCell ref="C33:D33"/>
    <mergeCell ref="C34:D34"/>
    <mergeCell ref="C35:D35"/>
    <mergeCell ref="C36:D36"/>
    <mergeCell ref="C37:D37"/>
    <mergeCell ref="B39:C39"/>
    <mergeCell ref="C40:D40"/>
    <mergeCell ref="C41:D41"/>
    <mergeCell ref="C42:D42"/>
    <mergeCell ref="C43:D43"/>
    <mergeCell ref="C44:D44"/>
    <mergeCell ref="C45:D45"/>
    <mergeCell ref="B58:C5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C3483"/>
  </sheetPr>
  <dimension ref="A1:G35"/>
  <sheetViews>
    <sheetView zoomScaleNormal="100" workbookViewId="0">
      <pane ySplit="2" topLeftCell="A21" activePane="bottomLeft" state="frozen"/>
      <selection pane="bottomLeft" activeCell="A35" sqref="A35:C35"/>
    </sheetView>
  </sheetViews>
  <sheetFormatPr defaultColWidth="8.7109375" defaultRowHeight="15" x14ac:dyDescent="0.25"/>
  <cols>
    <col min="1" max="1" width="38" style="1" customWidth="1"/>
    <col min="2" max="2" width="22" style="1" customWidth="1"/>
    <col min="3" max="3" width="38.140625" style="1" customWidth="1"/>
    <col min="4" max="4" width="10.7109375" style="1" customWidth="1"/>
    <col min="5" max="5" width="9.85546875" style="1" customWidth="1"/>
    <col min="6" max="6" width="12.28515625" style="1" customWidth="1"/>
    <col min="7" max="7" width="10.28515625" style="1" customWidth="1"/>
    <col min="8" max="16384" width="8.7109375" style="1"/>
  </cols>
  <sheetData>
    <row r="1" spans="1:3" ht="30" customHeight="1" x14ac:dyDescent="0.25">
      <c r="A1" s="38" t="s">
        <v>43</v>
      </c>
      <c r="B1" s="38"/>
      <c r="C1" s="38"/>
    </row>
    <row r="2" spans="1:3" ht="15" customHeight="1" x14ac:dyDescent="0.25">
      <c r="A2" s="39" t="s">
        <v>44</v>
      </c>
      <c r="B2" s="39"/>
      <c r="C2" s="39"/>
    </row>
    <row r="3" spans="1:3" ht="21.75" customHeight="1" x14ac:dyDescent="0.25">
      <c r="A3" s="40" t="s">
        <v>45</v>
      </c>
      <c r="B3" s="40"/>
      <c r="C3" s="40"/>
    </row>
    <row r="4" spans="1:3" ht="19.5" customHeight="1" x14ac:dyDescent="0.25">
      <c r="A4" s="3" t="s">
        <v>46</v>
      </c>
      <c r="B4" s="3" t="s">
        <v>47</v>
      </c>
      <c r="C4" s="3" t="s">
        <v>48</v>
      </c>
    </row>
    <row r="5" spans="1:3" ht="28.5" customHeight="1" x14ac:dyDescent="0.25">
      <c r="A5" s="2" t="s">
        <v>49</v>
      </c>
      <c r="B5" s="34" t="s">
        <v>50</v>
      </c>
      <c r="C5" s="14" t="s">
        <v>51</v>
      </c>
    </row>
    <row r="6" spans="1:3" ht="19.5" customHeight="1" x14ac:dyDescent="0.25">
      <c r="A6" s="2" t="s">
        <v>52</v>
      </c>
      <c r="B6" s="34" t="s">
        <v>53</v>
      </c>
      <c r="C6" s="14" t="s">
        <v>54</v>
      </c>
    </row>
    <row r="7" spans="1:3" ht="19.5" customHeight="1" x14ac:dyDescent="0.25">
      <c r="A7" s="2" t="s">
        <v>55</v>
      </c>
      <c r="B7" s="34" t="s">
        <v>56</v>
      </c>
      <c r="C7" s="14" t="s">
        <v>57</v>
      </c>
    </row>
    <row r="8" spans="1:3" ht="19.5" customHeight="1" x14ac:dyDescent="0.25">
      <c r="A8" s="2" t="s">
        <v>58</v>
      </c>
      <c r="B8" s="34" t="s">
        <v>59</v>
      </c>
      <c r="C8" s="14" t="s">
        <v>60</v>
      </c>
    </row>
    <row r="9" spans="1:3" ht="19.5" customHeight="1" x14ac:dyDescent="0.25">
      <c r="A9" s="2" t="s">
        <v>61</v>
      </c>
      <c r="B9" s="34" t="s">
        <v>62</v>
      </c>
      <c r="C9" s="14" t="s">
        <v>63</v>
      </c>
    </row>
    <row r="10" spans="1:3" ht="19.5" customHeight="1" x14ac:dyDescent="0.25">
      <c r="A10" s="2" t="s">
        <v>64</v>
      </c>
      <c r="B10" s="34" t="s">
        <v>65</v>
      </c>
      <c r="C10" s="14"/>
    </row>
    <row r="11" spans="1:3" ht="19.5" customHeight="1" x14ac:dyDescent="0.25">
      <c r="A11" s="2" t="s">
        <v>66</v>
      </c>
      <c r="B11" s="34" t="s">
        <v>67</v>
      </c>
      <c r="C11" s="14"/>
    </row>
    <row r="12" spans="1:3" ht="19.5" customHeight="1" x14ac:dyDescent="0.25">
      <c r="A12" s="2" t="s">
        <v>68</v>
      </c>
      <c r="B12" s="34" t="s">
        <v>69</v>
      </c>
      <c r="C12" s="14" t="s">
        <v>70</v>
      </c>
    </row>
    <row r="14" spans="1:3" ht="21.75" customHeight="1" x14ac:dyDescent="0.25">
      <c r="A14" s="41" t="s">
        <v>71</v>
      </c>
      <c r="B14" s="41"/>
      <c r="C14" s="41"/>
    </row>
    <row r="15" spans="1:3" ht="19.5" customHeight="1" x14ac:dyDescent="0.25">
      <c r="A15" s="3" t="s">
        <v>72</v>
      </c>
      <c r="B15" s="3" t="s">
        <v>47</v>
      </c>
      <c r="C15" s="3" t="s">
        <v>48</v>
      </c>
    </row>
    <row r="16" spans="1:3" ht="19.5" customHeight="1" x14ac:dyDescent="0.25">
      <c r="A16" s="2" t="s">
        <v>73</v>
      </c>
      <c r="B16" s="35">
        <v>1200000</v>
      </c>
      <c r="C16" s="14" t="s">
        <v>74</v>
      </c>
    </row>
    <row r="17" spans="1:7" ht="19.5" customHeight="1" x14ac:dyDescent="0.25">
      <c r="A17" s="2" t="s">
        <v>75</v>
      </c>
      <c r="B17" s="36">
        <v>0.18</v>
      </c>
      <c r="C17" s="14" t="s">
        <v>76</v>
      </c>
    </row>
    <row r="18" spans="1:7" ht="19.5" customHeight="1" x14ac:dyDescent="0.25">
      <c r="A18" s="2" t="s">
        <v>77</v>
      </c>
      <c r="B18" s="9">
        <f>B16*(1+B17)</f>
        <v>1416000</v>
      </c>
      <c r="C18" s="14" t="s">
        <v>78</v>
      </c>
    </row>
    <row r="19" spans="1:7" ht="41.25" customHeight="1" x14ac:dyDescent="0.25">
      <c r="A19" s="2" t="s">
        <v>79</v>
      </c>
      <c r="B19" s="35">
        <v>780000</v>
      </c>
      <c r="C19" s="14" t="s">
        <v>80</v>
      </c>
    </row>
    <row r="20" spans="1:7" ht="19.5" customHeight="1" x14ac:dyDescent="0.25">
      <c r="A20" s="2" t="s">
        <v>81</v>
      </c>
      <c r="B20" s="9">
        <f>B16-B19</f>
        <v>420000</v>
      </c>
      <c r="C20" s="14" t="s">
        <v>82</v>
      </c>
    </row>
    <row r="21" spans="1:7" ht="19.5" customHeight="1" x14ac:dyDescent="0.25">
      <c r="A21" s="2" t="s">
        <v>83</v>
      </c>
      <c r="B21" s="27">
        <f>IFERROR(B20/B16,0)</f>
        <v>0.35</v>
      </c>
      <c r="C21" s="14" t="s">
        <v>84</v>
      </c>
    </row>
    <row r="22" spans="1:7" ht="30" customHeight="1" x14ac:dyDescent="0.25">
      <c r="A22" s="2" t="s">
        <v>85</v>
      </c>
      <c r="B22" s="36">
        <v>0.25</v>
      </c>
      <c r="C22" s="14" t="s">
        <v>86</v>
      </c>
    </row>
    <row r="23" spans="1:7" ht="32.25" customHeight="1" x14ac:dyDescent="0.25">
      <c r="A23" s="2" t="s">
        <v>87</v>
      </c>
      <c r="B23" s="9">
        <f>'💸 COST TRACKER'!B28</f>
        <v>881000</v>
      </c>
      <c r="C23" s="14" t="s">
        <v>88</v>
      </c>
    </row>
    <row r="24" spans="1:7" ht="21.75" customHeight="1" x14ac:dyDescent="0.25">
      <c r="A24" s="42" t="s">
        <v>89</v>
      </c>
      <c r="B24" s="42"/>
      <c r="C24" s="42"/>
    </row>
    <row r="25" spans="1:7" ht="25.5" customHeight="1" x14ac:dyDescent="0.25">
      <c r="A25" s="3" t="s">
        <v>90</v>
      </c>
      <c r="B25" s="3" t="s">
        <v>91</v>
      </c>
      <c r="C25" s="3" t="s">
        <v>92</v>
      </c>
      <c r="D25" s="3" t="s">
        <v>93</v>
      </c>
      <c r="E25" s="3" t="s">
        <v>94</v>
      </c>
      <c r="F25" s="3" t="s">
        <v>95</v>
      </c>
      <c r="G25" s="3" t="s">
        <v>96</v>
      </c>
    </row>
    <row r="26" spans="1:7" ht="19.5" customHeight="1" x14ac:dyDescent="0.25">
      <c r="A26" s="34" t="s">
        <v>59</v>
      </c>
      <c r="B26" s="34" t="s">
        <v>58</v>
      </c>
      <c r="C26" s="35">
        <v>3500</v>
      </c>
      <c r="D26" s="35">
        <v>1500</v>
      </c>
      <c r="E26" s="35">
        <v>80</v>
      </c>
      <c r="F26" s="9">
        <f t="shared" ref="F26:F32" si="0">C26*E26</f>
        <v>280000</v>
      </c>
      <c r="G26" s="9">
        <f t="shared" ref="G26:G32" si="1">D26*E26</f>
        <v>120000</v>
      </c>
    </row>
    <row r="27" spans="1:7" ht="19.5" customHeight="1" x14ac:dyDescent="0.25">
      <c r="A27" s="34" t="s">
        <v>97</v>
      </c>
      <c r="B27" s="34" t="s">
        <v>98</v>
      </c>
      <c r="C27" s="35">
        <v>2800</v>
      </c>
      <c r="D27" s="35">
        <v>1200</v>
      </c>
      <c r="E27" s="35">
        <v>120</v>
      </c>
      <c r="F27" s="9">
        <f t="shared" si="0"/>
        <v>336000</v>
      </c>
      <c r="G27" s="9">
        <f t="shared" si="1"/>
        <v>144000</v>
      </c>
    </row>
    <row r="28" spans="1:7" ht="19.5" customHeight="1" x14ac:dyDescent="0.25">
      <c r="A28" s="34" t="s">
        <v>99</v>
      </c>
      <c r="B28" s="34" t="s">
        <v>100</v>
      </c>
      <c r="C28" s="35">
        <v>2000</v>
      </c>
      <c r="D28" s="35">
        <v>900</v>
      </c>
      <c r="E28" s="35">
        <v>100</v>
      </c>
      <c r="F28" s="9">
        <f t="shared" si="0"/>
        <v>200000</v>
      </c>
      <c r="G28" s="9">
        <f t="shared" si="1"/>
        <v>90000</v>
      </c>
    </row>
    <row r="29" spans="1:7" ht="19.5" customHeight="1" x14ac:dyDescent="0.25">
      <c r="A29" s="34" t="s">
        <v>101</v>
      </c>
      <c r="B29" s="34" t="s">
        <v>102</v>
      </c>
      <c r="C29" s="35">
        <v>1800</v>
      </c>
      <c r="D29" s="35">
        <v>800</v>
      </c>
      <c r="E29" s="35">
        <v>150</v>
      </c>
      <c r="F29" s="9">
        <f t="shared" si="0"/>
        <v>270000</v>
      </c>
      <c r="G29" s="9">
        <f t="shared" si="1"/>
        <v>120000</v>
      </c>
    </row>
    <row r="30" spans="1:7" ht="19.5" customHeight="1" x14ac:dyDescent="0.25">
      <c r="A30" s="34" t="s">
        <v>103</v>
      </c>
      <c r="B30" s="34" t="s">
        <v>104</v>
      </c>
      <c r="C30" s="35">
        <v>1500</v>
      </c>
      <c r="D30" s="35">
        <v>700</v>
      </c>
      <c r="E30" s="35">
        <v>60</v>
      </c>
      <c r="F30" s="9">
        <f t="shared" si="0"/>
        <v>90000</v>
      </c>
      <c r="G30" s="9">
        <f t="shared" si="1"/>
        <v>42000</v>
      </c>
    </row>
    <row r="31" spans="1:7" ht="19.5" customHeight="1" x14ac:dyDescent="0.25">
      <c r="A31" s="34"/>
      <c r="B31" s="34"/>
      <c r="C31" s="35">
        <v>0</v>
      </c>
      <c r="D31" s="35">
        <v>0</v>
      </c>
      <c r="E31" s="35">
        <v>0</v>
      </c>
      <c r="F31" s="9">
        <f t="shared" si="0"/>
        <v>0</v>
      </c>
      <c r="G31" s="9">
        <f t="shared" si="1"/>
        <v>0</v>
      </c>
    </row>
    <row r="32" spans="1:7" ht="19.5" customHeight="1" x14ac:dyDescent="0.25">
      <c r="A32" s="34"/>
      <c r="B32" s="34"/>
      <c r="C32" s="35">
        <v>0</v>
      </c>
      <c r="D32" s="35">
        <v>0</v>
      </c>
      <c r="E32" s="35">
        <v>0</v>
      </c>
      <c r="F32" s="9">
        <f t="shared" si="0"/>
        <v>0</v>
      </c>
      <c r="G32" s="9">
        <f t="shared" si="1"/>
        <v>0</v>
      </c>
    </row>
    <row r="33" spans="1:7" ht="19.5" customHeight="1" x14ac:dyDescent="0.25">
      <c r="A33" s="28" t="s">
        <v>105</v>
      </c>
      <c r="B33" s="20"/>
      <c r="C33" s="20"/>
      <c r="D33" s="20"/>
      <c r="E33" s="29">
        <f>SUM(E26:E32)</f>
        <v>510</v>
      </c>
      <c r="F33" s="29">
        <f>SUM(F26:F32)</f>
        <v>1176000</v>
      </c>
      <c r="G33" s="29">
        <f>SUM(G26:G32)</f>
        <v>516000</v>
      </c>
    </row>
    <row r="35" spans="1:7" ht="36" customHeight="1" x14ac:dyDescent="0.25">
      <c r="A35" s="37" t="s">
        <v>106</v>
      </c>
      <c r="B35" s="37"/>
      <c r="C35" s="37"/>
    </row>
  </sheetData>
  <mergeCells count="6">
    <mergeCell ref="A35:C35"/>
    <mergeCell ref="A1:C1"/>
    <mergeCell ref="A2:C2"/>
    <mergeCell ref="A3:C3"/>
    <mergeCell ref="A14:C14"/>
    <mergeCell ref="A24:C2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7A65"/>
  </sheetPr>
  <dimension ref="A1:L21"/>
  <sheetViews>
    <sheetView zoomScaleNormal="100" workbookViewId="0">
      <pane ySplit="3" topLeftCell="A4" activePane="bottomLeft" state="frozen"/>
      <selection pane="bottomLeft" activeCell="A19" sqref="A19"/>
    </sheetView>
  </sheetViews>
  <sheetFormatPr defaultColWidth="8.7109375" defaultRowHeight="15" x14ac:dyDescent="0.25"/>
  <cols>
    <col min="1" max="1" width="27.140625" style="1" customWidth="1"/>
    <col min="2" max="2" width="16" style="1" customWidth="1"/>
    <col min="3" max="4" width="13" style="1" customWidth="1"/>
    <col min="5" max="6" width="12" style="1" customWidth="1"/>
    <col min="7" max="9" width="13" style="1" customWidth="1"/>
    <col min="10" max="12" width="14" style="1" customWidth="1"/>
    <col min="13" max="16384" width="8.7109375" style="1"/>
  </cols>
  <sheetData>
    <row r="1" spans="1:12" ht="30" customHeight="1" x14ac:dyDescent="0.25">
      <c r="A1" s="38" t="s">
        <v>107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customHeight="1" x14ac:dyDescent="0.25">
      <c r="A2" s="39" t="s">
        <v>108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 x14ac:dyDescent="0.25">
      <c r="A3" s="40" t="s">
        <v>109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0" customHeight="1" x14ac:dyDescent="0.25">
      <c r="A4" s="3" t="s">
        <v>90</v>
      </c>
      <c r="B4" s="3" t="s">
        <v>91</v>
      </c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3" t="s">
        <v>117</v>
      </c>
      <c r="K4" s="3" t="s">
        <v>118</v>
      </c>
      <c r="L4" s="3" t="s">
        <v>119</v>
      </c>
    </row>
    <row r="5" spans="1:12" ht="19.5" customHeight="1" x14ac:dyDescent="0.25">
      <c r="A5" s="2" t="str">
        <f>'📋 PROJECT SETUP'!A26</f>
        <v>Priya Sharma</v>
      </c>
      <c r="B5" s="2" t="str">
        <f>'📋 PROJECT SETUP'!B26</f>
        <v>Project Manager</v>
      </c>
      <c r="C5" s="31">
        <f>'📋 PROJECT SETUP'!C26</f>
        <v>3500</v>
      </c>
      <c r="D5" s="31">
        <f>'📋 PROJECT SETUP'!D26</f>
        <v>1500</v>
      </c>
      <c r="E5" s="32">
        <f>'📋 PROJECT SETUP'!E26</f>
        <v>80</v>
      </c>
      <c r="F5" s="12">
        <v>72</v>
      </c>
      <c r="G5" s="12">
        <v>10</v>
      </c>
      <c r="H5" s="9">
        <f t="shared" ref="H5:H11" si="0">F5+G5</f>
        <v>82</v>
      </c>
      <c r="I5" s="9">
        <f t="shared" ref="I5:I11" si="1">E5-H5</f>
        <v>-2</v>
      </c>
      <c r="J5" s="9">
        <f t="shared" ref="J5:J11" si="2">IFERROR(F5*C5,0)</f>
        <v>252000</v>
      </c>
      <c r="K5" s="9">
        <f t="shared" ref="K5:K11" si="3">IFERROR(F5*D5,0)</f>
        <v>108000</v>
      </c>
      <c r="L5" s="9">
        <f t="shared" ref="L5:L11" si="4">IFERROR(H5*D5,0)</f>
        <v>123000</v>
      </c>
    </row>
    <row r="6" spans="1:12" ht="19.5" customHeight="1" x14ac:dyDescent="0.25">
      <c r="A6" s="2" t="str">
        <f>'📋 PROJECT SETUP'!A27</f>
        <v>Arjun Mehta</v>
      </c>
      <c r="B6" s="2" t="str">
        <f>'📋 PROJECT SETUP'!B27</f>
        <v>Senior Consultant</v>
      </c>
      <c r="C6" s="31">
        <f>'📋 PROJECT SETUP'!C27</f>
        <v>2800</v>
      </c>
      <c r="D6" s="31">
        <f>'📋 PROJECT SETUP'!D27</f>
        <v>1200</v>
      </c>
      <c r="E6" s="32">
        <f>'📋 PROJECT SETUP'!E27</f>
        <v>120</v>
      </c>
      <c r="F6" s="12">
        <v>108</v>
      </c>
      <c r="G6" s="12">
        <v>15</v>
      </c>
      <c r="H6" s="9">
        <f t="shared" si="0"/>
        <v>123</v>
      </c>
      <c r="I6" s="9">
        <f t="shared" si="1"/>
        <v>-3</v>
      </c>
      <c r="J6" s="9">
        <f t="shared" si="2"/>
        <v>302400</v>
      </c>
      <c r="K6" s="9">
        <f t="shared" si="3"/>
        <v>129600</v>
      </c>
      <c r="L6" s="9">
        <f t="shared" si="4"/>
        <v>147600</v>
      </c>
    </row>
    <row r="7" spans="1:12" ht="19.5" customHeight="1" x14ac:dyDescent="0.25">
      <c r="A7" s="2" t="str">
        <f>'📋 PROJECT SETUP'!A28</f>
        <v>Divya Rao</v>
      </c>
      <c r="B7" s="2" t="str">
        <f>'📋 PROJECT SETUP'!B28</f>
        <v>Business Analyst</v>
      </c>
      <c r="C7" s="31">
        <f>'📋 PROJECT SETUP'!C28</f>
        <v>2000</v>
      </c>
      <c r="D7" s="31">
        <f>'📋 PROJECT SETUP'!D28</f>
        <v>900</v>
      </c>
      <c r="E7" s="32">
        <f>'📋 PROJECT SETUP'!E28</f>
        <v>100</v>
      </c>
      <c r="F7" s="12">
        <v>85</v>
      </c>
      <c r="G7" s="12">
        <v>18</v>
      </c>
      <c r="H7" s="9">
        <f t="shared" si="0"/>
        <v>103</v>
      </c>
      <c r="I7" s="9">
        <f t="shared" si="1"/>
        <v>-3</v>
      </c>
      <c r="J7" s="9">
        <f t="shared" si="2"/>
        <v>170000</v>
      </c>
      <c r="K7" s="9">
        <f t="shared" si="3"/>
        <v>76500</v>
      </c>
      <c r="L7" s="9">
        <f t="shared" si="4"/>
        <v>92700</v>
      </c>
    </row>
    <row r="8" spans="1:12" ht="19.5" customHeight="1" x14ac:dyDescent="0.25">
      <c r="A8" s="2" t="str">
        <f>'📋 PROJECT SETUP'!A29</f>
        <v>Karan Singh</v>
      </c>
      <c r="B8" s="2" t="str">
        <f>'📋 PROJECT SETUP'!B29</f>
        <v>Developer</v>
      </c>
      <c r="C8" s="31">
        <f>'📋 PROJECT SETUP'!C29</f>
        <v>1800</v>
      </c>
      <c r="D8" s="31">
        <f>'📋 PROJECT SETUP'!D29</f>
        <v>800</v>
      </c>
      <c r="E8" s="32">
        <f>'📋 PROJECT SETUP'!E29</f>
        <v>150</v>
      </c>
      <c r="F8" s="12">
        <v>130</v>
      </c>
      <c r="G8" s="12">
        <v>22</v>
      </c>
      <c r="H8" s="9">
        <f t="shared" si="0"/>
        <v>152</v>
      </c>
      <c r="I8" s="9">
        <f t="shared" si="1"/>
        <v>-2</v>
      </c>
      <c r="J8" s="9">
        <f t="shared" si="2"/>
        <v>234000</v>
      </c>
      <c r="K8" s="9">
        <f t="shared" si="3"/>
        <v>104000</v>
      </c>
      <c r="L8" s="9">
        <f t="shared" si="4"/>
        <v>121600</v>
      </c>
    </row>
    <row r="9" spans="1:12" ht="19.5" customHeight="1" x14ac:dyDescent="0.25">
      <c r="A9" s="2" t="str">
        <f>'📋 PROJECT SETUP'!A30</f>
        <v>Ananya Gupta</v>
      </c>
      <c r="B9" s="2" t="str">
        <f>'📋 PROJECT SETUP'!B30</f>
        <v>QA Analyst</v>
      </c>
      <c r="C9" s="31">
        <f>'📋 PROJECT SETUP'!C30</f>
        <v>1500</v>
      </c>
      <c r="D9" s="31">
        <f>'📋 PROJECT SETUP'!D30</f>
        <v>700</v>
      </c>
      <c r="E9" s="32">
        <f>'📋 PROJECT SETUP'!E30</f>
        <v>60</v>
      </c>
      <c r="F9" s="12">
        <v>52</v>
      </c>
      <c r="G9" s="12">
        <v>10</v>
      </c>
      <c r="H9" s="9">
        <f t="shared" si="0"/>
        <v>62</v>
      </c>
      <c r="I9" s="9">
        <f t="shared" si="1"/>
        <v>-2</v>
      </c>
      <c r="J9" s="9">
        <f t="shared" si="2"/>
        <v>78000</v>
      </c>
      <c r="K9" s="9">
        <f t="shared" si="3"/>
        <v>36400</v>
      </c>
      <c r="L9" s="9">
        <f t="shared" si="4"/>
        <v>43400</v>
      </c>
    </row>
    <row r="10" spans="1:12" ht="19.5" customHeight="1" x14ac:dyDescent="0.25">
      <c r="A10" s="2">
        <f>'📋 PROJECT SETUP'!A31</f>
        <v>0</v>
      </c>
      <c r="B10" s="2">
        <f>'📋 PROJECT SETUP'!B31</f>
        <v>0</v>
      </c>
      <c r="C10" s="31">
        <f>'📋 PROJECT SETUP'!C31</f>
        <v>0</v>
      </c>
      <c r="D10" s="31">
        <f>'📋 PROJECT SETUP'!D31</f>
        <v>0</v>
      </c>
      <c r="E10" s="32">
        <f>'📋 PROJECT SETUP'!E31</f>
        <v>0</v>
      </c>
      <c r="F10" s="12">
        <v>0</v>
      </c>
      <c r="G10" s="12">
        <v>0</v>
      </c>
      <c r="H10" s="9">
        <f t="shared" si="0"/>
        <v>0</v>
      </c>
      <c r="I10" s="9">
        <f t="shared" si="1"/>
        <v>0</v>
      </c>
      <c r="J10" s="9">
        <f t="shared" si="2"/>
        <v>0</v>
      </c>
      <c r="K10" s="9">
        <f t="shared" si="3"/>
        <v>0</v>
      </c>
      <c r="L10" s="9">
        <f t="shared" si="4"/>
        <v>0</v>
      </c>
    </row>
    <row r="11" spans="1:12" ht="19.5" customHeight="1" x14ac:dyDescent="0.25">
      <c r="A11" s="2">
        <f>'📋 PROJECT SETUP'!A32</f>
        <v>0</v>
      </c>
      <c r="B11" s="2">
        <f>'📋 PROJECT SETUP'!B32</f>
        <v>0</v>
      </c>
      <c r="C11" s="31">
        <f>'📋 PROJECT SETUP'!C32</f>
        <v>0</v>
      </c>
      <c r="D11" s="31">
        <f>'📋 PROJECT SETUP'!D32</f>
        <v>0</v>
      </c>
      <c r="E11" s="32">
        <f>'📋 PROJECT SETUP'!E32</f>
        <v>0</v>
      </c>
      <c r="F11" s="12">
        <v>0</v>
      </c>
      <c r="G11" s="12">
        <v>0</v>
      </c>
      <c r="H11" s="9">
        <f t="shared" si="0"/>
        <v>0</v>
      </c>
      <c r="I11" s="9">
        <f t="shared" si="1"/>
        <v>0</v>
      </c>
      <c r="J11" s="9">
        <f t="shared" si="2"/>
        <v>0</v>
      </c>
      <c r="K11" s="9">
        <f t="shared" si="3"/>
        <v>0</v>
      </c>
      <c r="L11" s="9">
        <f t="shared" si="4"/>
        <v>0</v>
      </c>
    </row>
    <row r="12" spans="1:12" ht="19.5" customHeight="1" x14ac:dyDescent="0.25">
      <c r="A12" s="28" t="s">
        <v>105</v>
      </c>
      <c r="B12" s="20"/>
      <c r="C12" s="20"/>
      <c r="D12" s="20"/>
      <c r="E12" s="29">
        <f t="shared" ref="E12:L12" si="5">SUM(E5:E11)</f>
        <v>510</v>
      </c>
      <c r="F12" s="29">
        <f t="shared" si="5"/>
        <v>447</v>
      </c>
      <c r="G12" s="29">
        <f t="shared" si="5"/>
        <v>75</v>
      </c>
      <c r="H12" s="29">
        <f t="shared" si="5"/>
        <v>522</v>
      </c>
      <c r="I12" s="29">
        <f t="shared" si="5"/>
        <v>-12</v>
      </c>
      <c r="J12" s="29">
        <f t="shared" si="5"/>
        <v>1036400</v>
      </c>
      <c r="K12" s="29">
        <f t="shared" si="5"/>
        <v>454500</v>
      </c>
      <c r="L12" s="29">
        <f t="shared" si="5"/>
        <v>528300</v>
      </c>
    </row>
    <row r="14" spans="1:12" ht="21.75" customHeight="1" x14ac:dyDescent="0.25">
      <c r="A14" s="41" t="s">
        <v>120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30" customHeight="1" x14ac:dyDescent="0.25">
      <c r="A15" s="33" t="s">
        <v>121</v>
      </c>
      <c r="B15" s="43">
        <f>IFERROR(SUMPRODUCT('📋 PROJECT SETUP'!E26:E32,'📋 PROJECT SETUP'!C26:C32),0)</f>
        <v>1176000</v>
      </c>
      <c r="C15" s="43"/>
      <c r="D15" s="43"/>
      <c r="E15" s="43"/>
      <c r="F15" s="43"/>
      <c r="G15" s="43"/>
      <c r="H15" s="43"/>
      <c r="I15" s="37" t="s">
        <v>122</v>
      </c>
      <c r="J15" s="37"/>
      <c r="K15" s="37"/>
      <c r="L15" s="37"/>
    </row>
    <row r="16" spans="1:12" ht="31.5" customHeight="1" x14ac:dyDescent="0.25">
      <c r="A16" s="33" t="s">
        <v>123</v>
      </c>
      <c r="B16" s="43">
        <f>SUM(J5:J11)</f>
        <v>1036400</v>
      </c>
      <c r="C16" s="43"/>
      <c r="D16" s="43"/>
      <c r="E16" s="43"/>
      <c r="F16" s="43"/>
      <c r="G16" s="43"/>
      <c r="H16" s="43"/>
      <c r="I16" s="37" t="s">
        <v>124</v>
      </c>
      <c r="J16" s="37"/>
      <c r="K16" s="37"/>
      <c r="L16" s="37"/>
    </row>
    <row r="17" spans="1:12" ht="26.25" customHeight="1" x14ac:dyDescent="0.25">
      <c r="A17" s="33" t="s">
        <v>125</v>
      </c>
      <c r="B17" s="43">
        <f>IFERROR(SUMPRODUCT(H5:H11,'📋 PROJECT SETUP'!C26:C32),0)</f>
        <v>1204000</v>
      </c>
      <c r="C17" s="43"/>
      <c r="D17" s="43"/>
      <c r="E17" s="43"/>
      <c r="F17" s="43"/>
      <c r="G17" s="43"/>
      <c r="H17" s="43"/>
      <c r="I17" s="37" t="s">
        <v>126</v>
      </c>
      <c r="J17" s="37"/>
      <c r="K17" s="37"/>
      <c r="L17" s="37"/>
    </row>
    <row r="18" spans="1:12" ht="25.5" customHeight="1" x14ac:dyDescent="0.25">
      <c r="A18" s="33" t="s">
        <v>127</v>
      </c>
      <c r="B18" s="44">
        <f>IFERROR(F12/E12,0)</f>
        <v>0.87647058823529411</v>
      </c>
      <c r="C18" s="44"/>
      <c r="D18" s="44"/>
      <c r="E18" s="44"/>
      <c r="F18" s="44"/>
      <c r="G18" s="44"/>
      <c r="H18" s="44"/>
      <c r="I18" s="37" t="s">
        <v>128</v>
      </c>
      <c r="J18" s="37"/>
      <c r="K18" s="37"/>
      <c r="L18" s="37"/>
    </row>
    <row r="19" spans="1:12" ht="29.25" customHeight="1" x14ac:dyDescent="0.25">
      <c r="A19" s="33" t="s">
        <v>129</v>
      </c>
      <c r="B19" s="43">
        <f>MAX(0,E12-F12)</f>
        <v>63</v>
      </c>
      <c r="C19" s="43"/>
      <c r="D19" s="43"/>
      <c r="E19" s="43"/>
      <c r="F19" s="43"/>
      <c r="G19" s="43"/>
      <c r="H19" s="43"/>
      <c r="I19" s="37" t="s">
        <v>130</v>
      </c>
      <c r="J19" s="37"/>
      <c r="K19" s="37"/>
      <c r="L19" s="37"/>
    </row>
    <row r="21" spans="1:12" ht="15" customHeight="1" x14ac:dyDescent="0.25">
      <c r="A21" s="37" t="s">
        <v>131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</sheetData>
  <mergeCells count="15">
    <mergeCell ref="A1:L1"/>
    <mergeCell ref="A2:L2"/>
    <mergeCell ref="A3:L3"/>
    <mergeCell ref="A14:L14"/>
    <mergeCell ref="B15:H15"/>
    <mergeCell ref="I15:L15"/>
    <mergeCell ref="B19:H19"/>
    <mergeCell ref="I19:L19"/>
    <mergeCell ref="A21:L21"/>
    <mergeCell ref="B16:H16"/>
    <mergeCell ref="I16:L16"/>
    <mergeCell ref="B17:H17"/>
    <mergeCell ref="I17:L17"/>
    <mergeCell ref="B18:H18"/>
    <mergeCell ref="I18:L1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04000"/>
  </sheetPr>
  <dimension ref="A1:H30"/>
  <sheetViews>
    <sheetView zoomScaleNormal="100" workbookViewId="0">
      <pane ySplit="2" topLeftCell="A3" activePane="bottomLeft" state="frozen"/>
      <selection pane="bottomLeft" activeCell="A30" sqref="A30:H30"/>
    </sheetView>
  </sheetViews>
  <sheetFormatPr defaultColWidth="8.7109375" defaultRowHeight="15" x14ac:dyDescent="0.25"/>
  <cols>
    <col min="1" max="1" width="34" style="1" customWidth="1"/>
    <col min="2" max="2" width="14" style="1" customWidth="1"/>
    <col min="3" max="5" width="16" style="1" customWidth="1"/>
    <col min="6" max="6" width="14" style="1" customWidth="1"/>
    <col min="7" max="7" width="12" style="1" customWidth="1"/>
    <col min="8" max="8" width="14" style="1" customWidth="1"/>
    <col min="9" max="16384" width="8.7109375" style="1"/>
  </cols>
  <sheetData>
    <row r="1" spans="1:8" ht="30" customHeight="1" x14ac:dyDescent="0.25">
      <c r="A1" s="38" t="s">
        <v>132</v>
      </c>
      <c r="B1" s="38"/>
      <c r="C1" s="38"/>
      <c r="D1" s="38"/>
      <c r="E1" s="38"/>
      <c r="F1" s="38"/>
      <c r="G1" s="38"/>
      <c r="H1" s="38"/>
    </row>
    <row r="2" spans="1:8" ht="15" customHeight="1" x14ac:dyDescent="0.25">
      <c r="A2" s="39" t="s">
        <v>133</v>
      </c>
      <c r="B2" s="39"/>
      <c r="C2" s="39"/>
      <c r="D2" s="39"/>
      <c r="E2" s="39"/>
      <c r="F2" s="39"/>
      <c r="G2" s="39"/>
      <c r="H2" s="39"/>
    </row>
    <row r="3" spans="1:8" ht="21.75" customHeight="1" x14ac:dyDescent="0.25">
      <c r="A3" s="40" t="s">
        <v>134</v>
      </c>
      <c r="B3" s="40"/>
      <c r="C3" s="40"/>
      <c r="D3" s="40"/>
      <c r="E3" s="40"/>
      <c r="F3" s="40"/>
      <c r="G3" s="40"/>
      <c r="H3" s="40"/>
    </row>
    <row r="4" spans="1:8" ht="25.5" customHeight="1" x14ac:dyDescent="0.25">
      <c r="A4" s="3" t="s">
        <v>135</v>
      </c>
      <c r="B4" s="3" t="s">
        <v>136</v>
      </c>
      <c r="C4" s="3" t="s">
        <v>137</v>
      </c>
      <c r="D4" s="3" t="s">
        <v>138</v>
      </c>
      <c r="E4" s="3" t="s">
        <v>139</v>
      </c>
      <c r="F4" s="3" t="s">
        <v>140</v>
      </c>
      <c r="G4" s="3" t="s">
        <v>141</v>
      </c>
      <c r="H4" s="3" t="s">
        <v>142</v>
      </c>
    </row>
    <row r="5" spans="1:8" ht="21.75" customHeight="1" x14ac:dyDescent="0.25">
      <c r="A5" s="2" t="s">
        <v>143</v>
      </c>
      <c r="B5" s="9">
        <f>'📋 PROJECT SETUP'!G33</f>
        <v>516000</v>
      </c>
      <c r="C5" s="9">
        <f>SUM('⏱ TIME TRACKER'!K5:K11)</f>
        <v>454500</v>
      </c>
      <c r="D5" s="9">
        <f>IFERROR(SUM('⏱ TIME TRACKER'!L5:L11)-SUM('⏱ TIME TRACKER'!K5:K11),0)</f>
        <v>73800</v>
      </c>
      <c r="E5" s="9">
        <f>IFERROR(C5+D5,0)</f>
        <v>528300</v>
      </c>
      <c r="F5" s="9">
        <f>IFERROR(B5-E5,0)</f>
        <v>-12300</v>
      </c>
      <c r="G5" s="27">
        <f>IFERROR(F5/B5,0)</f>
        <v>-2.3837209302325583E-2</v>
      </c>
      <c r="H5" s="5" t="str">
        <f>IF(B5=0,"—",IF(E5&gt;B5,"🔴 Overrun",IF((B5-E5)/B5&lt;0.1,"🟡 At Risk","🟢 On Track")))</f>
        <v>🔴 Overrun</v>
      </c>
    </row>
    <row r="6" spans="1:8" ht="21.75" customHeight="1" x14ac:dyDescent="0.25">
      <c r="A6" s="2" t="s">
        <v>144</v>
      </c>
      <c r="B6" s="12">
        <v>80000</v>
      </c>
      <c r="C6" s="12">
        <v>65000</v>
      </c>
      <c r="D6" s="12">
        <v>20000</v>
      </c>
      <c r="E6" s="9">
        <f>IFERROR(C6+D6,0)</f>
        <v>85000</v>
      </c>
      <c r="F6" s="9">
        <f>IFERROR(B6-E6,0)</f>
        <v>-5000</v>
      </c>
      <c r="G6" s="27">
        <f>IFERROR(F6/B6,0)</f>
        <v>-6.25E-2</v>
      </c>
      <c r="H6" s="5" t="str">
        <f>IF(B6=0,"—",IF(E6&gt;B6,"🔴 Overrun",IF((B6-E6)/B6&lt;0.1,"🟡 At Risk","🟢 On Track")))</f>
        <v>🔴 Overrun</v>
      </c>
    </row>
    <row r="7" spans="1:8" ht="21.75" customHeight="1" x14ac:dyDescent="0.25">
      <c r="A7" s="28" t="s">
        <v>145</v>
      </c>
      <c r="B7" s="29">
        <f>SUM(B5:B6)</f>
        <v>596000</v>
      </c>
      <c r="C7" s="29">
        <f>SUM(C5:C6)</f>
        <v>519500</v>
      </c>
      <c r="D7" s="29">
        <f>SUM(D5:D6)</f>
        <v>93800</v>
      </c>
      <c r="E7" s="29">
        <f>IFERROR(C7+D7,0)</f>
        <v>613300</v>
      </c>
      <c r="F7" s="29">
        <f>IFERROR(B7-E7,0)</f>
        <v>-17300</v>
      </c>
      <c r="G7" s="30">
        <f>IFERROR(F7/B7,0)</f>
        <v>-2.9026845637583891E-2</v>
      </c>
      <c r="H7" s="5" t="str">
        <f>IF(B7=0,"—",IF(E7&gt;B7,"🔴 Overrun",IF((B7-E7)/B7&lt;0.1,"🟡 At Risk","🟢 On Track")))</f>
        <v>🔴 Overrun</v>
      </c>
    </row>
    <row r="9" spans="1:8" ht="21.75" customHeight="1" x14ac:dyDescent="0.25">
      <c r="A9" s="41" t="s">
        <v>146</v>
      </c>
      <c r="B9" s="41"/>
      <c r="C9" s="41"/>
      <c r="D9" s="41"/>
      <c r="E9" s="41"/>
      <c r="F9" s="41"/>
      <c r="G9" s="41"/>
      <c r="H9" s="41"/>
    </row>
    <row r="10" spans="1:8" ht="25.5" customHeight="1" x14ac:dyDescent="0.25">
      <c r="A10" s="3" t="s">
        <v>135</v>
      </c>
      <c r="B10" s="3" t="s">
        <v>136</v>
      </c>
      <c r="C10" s="3" t="s">
        <v>137</v>
      </c>
      <c r="D10" s="3" t="s">
        <v>138</v>
      </c>
      <c r="E10" s="3" t="s">
        <v>139</v>
      </c>
      <c r="F10" s="3" t="s">
        <v>140</v>
      </c>
      <c r="G10" s="3" t="s">
        <v>141</v>
      </c>
      <c r="H10" s="3" t="s">
        <v>142</v>
      </c>
    </row>
    <row r="11" spans="1:8" ht="21.75" customHeight="1" x14ac:dyDescent="0.25">
      <c r="A11" s="2" t="s">
        <v>147</v>
      </c>
      <c r="B11" s="12">
        <v>120000</v>
      </c>
      <c r="C11" s="12">
        <v>95000</v>
      </c>
      <c r="D11" s="12">
        <v>25000</v>
      </c>
      <c r="E11" s="9">
        <f>IFERROR(C11+D11,0)</f>
        <v>120000</v>
      </c>
      <c r="F11" s="9">
        <f>IFERROR(B11-E11,0)</f>
        <v>0</v>
      </c>
      <c r="G11" s="27">
        <f>IFERROR(F11/B11,0)</f>
        <v>0</v>
      </c>
      <c r="H11" s="5" t="str">
        <f>IF(B11=0,"—",IF(E11&gt;B11,"🔴 Overrun",IF((B11-E11)/B11&lt;0.1,"🟡 At Risk","🟢 On Track")))</f>
        <v>🟡 At Risk</v>
      </c>
    </row>
    <row r="12" spans="1:8" ht="21.75" customHeight="1" x14ac:dyDescent="0.25">
      <c r="A12" s="2" t="s">
        <v>148</v>
      </c>
      <c r="B12" s="12">
        <v>80000</v>
      </c>
      <c r="C12" s="12">
        <v>80000</v>
      </c>
      <c r="D12" s="12">
        <v>0</v>
      </c>
      <c r="E12" s="9">
        <f>IFERROR(C12+D12,0)</f>
        <v>80000</v>
      </c>
      <c r="F12" s="9">
        <f>IFERROR(B12-E12,0)</f>
        <v>0</v>
      </c>
      <c r="G12" s="27">
        <f>IFERROR(F12/B12,0)</f>
        <v>0</v>
      </c>
      <c r="H12" s="5" t="str">
        <f>IF(B12=0,"—",IF(E12&gt;B12,"🔴 Overrun",IF((B12-E12)/B12&lt;0.1,"🟡 At Risk","🟢 On Track")))</f>
        <v>🟡 At Risk</v>
      </c>
    </row>
    <row r="13" spans="1:8" ht="21.75" customHeight="1" x14ac:dyDescent="0.25">
      <c r="A13" s="2" t="s">
        <v>149</v>
      </c>
      <c r="B13" s="12">
        <v>0</v>
      </c>
      <c r="C13" s="12">
        <v>0</v>
      </c>
      <c r="D13" s="12">
        <v>0</v>
      </c>
      <c r="E13" s="9">
        <f>IFERROR(C13+D13,0)</f>
        <v>0</v>
      </c>
      <c r="F13" s="9">
        <f>IFERROR(B13-E13,0)</f>
        <v>0</v>
      </c>
      <c r="G13" s="27">
        <f>IFERROR(F13/B13,0)</f>
        <v>0</v>
      </c>
      <c r="H13" s="5" t="str">
        <f>IF(B13=0,"—",IF(E13&gt;B13,"🔴 Overrun",IF((B13-E13)/B13&lt;0.1,"🟡 At Risk","🟢 On Track")))</f>
        <v>—</v>
      </c>
    </row>
    <row r="14" spans="1:8" ht="21.75" customHeight="1" x14ac:dyDescent="0.25">
      <c r="A14" s="28" t="s">
        <v>150</v>
      </c>
      <c r="B14" s="29">
        <f>SUM(B11:B13)</f>
        <v>200000</v>
      </c>
      <c r="C14" s="29">
        <f>SUM(C11:C13)</f>
        <v>175000</v>
      </c>
      <c r="D14" s="29">
        <f>SUM(D11:D13)</f>
        <v>25000</v>
      </c>
      <c r="E14" s="29">
        <f>IFERROR(C14+D14,0)</f>
        <v>200000</v>
      </c>
      <c r="F14" s="29">
        <f>IFERROR(B14-E14,0)</f>
        <v>0</v>
      </c>
      <c r="G14" s="30">
        <f>IFERROR(F14/B14,0)</f>
        <v>0</v>
      </c>
      <c r="H14" s="5" t="str">
        <f>IF(B14=0,"—",IF(E14&gt;B14,"🔴 Overrun",IF((B14-E14)/B14&lt;0.1,"🟡 At Risk","🟢 On Track")))</f>
        <v>🟡 At Risk</v>
      </c>
    </row>
    <row r="16" spans="1:8" ht="21.75" customHeight="1" x14ac:dyDescent="0.25">
      <c r="A16" s="40" t="s">
        <v>151</v>
      </c>
      <c r="B16" s="40"/>
      <c r="C16" s="40"/>
      <c r="D16" s="40"/>
      <c r="E16" s="40"/>
      <c r="F16" s="40"/>
      <c r="G16" s="40"/>
      <c r="H16" s="40"/>
    </row>
    <row r="17" spans="1:8" ht="25.5" customHeight="1" x14ac:dyDescent="0.25">
      <c r="A17" s="3" t="s">
        <v>135</v>
      </c>
      <c r="B17" s="3" t="s">
        <v>136</v>
      </c>
      <c r="C17" s="3" t="s">
        <v>137</v>
      </c>
      <c r="D17" s="3" t="s">
        <v>138</v>
      </c>
      <c r="E17" s="3" t="s">
        <v>139</v>
      </c>
      <c r="F17" s="3" t="s">
        <v>140</v>
      </c>
      <c r="G17" s="3" t="s">
        <v>141</v>
      </c>
      <c r="H17" s="3" t="s">
        <v>142</v>
      </c>
    </row>
    <row r="18" spans="1:8" ht="21.75" customHeight="1" x14ac:dyDescent="0.25">
      <c r="A18" s="2" t="s">
        <v>152</v>
      </c>
      <c r="B18" s="12">
        <v>25000</v>
      </c>
      <c r="C18" s="12">
        <v>18000</v>
      </c>
      <c r="D18" s="12">
        <v>8000</v>
      </c>
      <c r="E18" s="9">
        <f>IFERROR(C18+D18,0)</f>
        <v>26000</v>
      </c>
      <c r="F18" s="9">
        <f>IFERROR(B18-E18,0)</f>
        <v>-1000</v>
      </c>
      <c r="G18" s="27">
        <f>IFERROR(F18/B18,0)</f>
        <v>-0.04</v>
      </c>
      <c r="H18" s="5" t="str">
        <f>IF(B18=0,"—",IF(E18&gt;B18,"🔴 Overrun",IF((B18-E18)/B18&lt;0.1,"🟡 At Risk","🟢 On Track")))</f>
        <v>🔴 Overrun</v>
      </c>
    </row>
    <row r="19" spans="1:8" ht="21.75" customHeight="1" x14ac:dyDescent="0.25">
      <c r="A19" s="2" t="s">
        <v>153</v>
      </c>
      <c r="B19" s="12">
        <v>15000</v>
      </c>
      <c r="C19" s="12">
        <v>12000</v>
      </c>
      <c r="D19" s="12">
        <v>3000</v>
      </c>
      <c r="E19" s="9">
        <f>IFERROR(C19+D19,0)</f>
        <v>15000</v>
      </c>
      <c r="F19" s="9">
        <f>IFERROR(B19-E19,0)</f>
        <v>0</v>
      </c>
      <c r="G19" s="27">
        <f>IFERROR(F19/B19,0)</f>
        <v>0</v>
      </c>
      <c r="H19" s="5" t="str">
        <f>IF(B19=0,"—",IF(E19&gt;B19,"🔴 Overrun",IF((B19-E19)/B19&lt;0.1,"🟡 At Risk","🟢 On Track")))</f>
        <v>🟡 At Risk</v>
      </c>
    </row>
    <row r="20" spans="1:8" ht="21.75" customHeight="1" x14ac:dyDescent="0.25">
      <c r="A20" s="2" t="s">
        <v>154</v>
      </c>
      <c r="B20" s="12">
        <v>5000</v>
      </c>
      <c r="C20" s="12">
        <v>3500</v>
      </c>
      <c r="D20" s="12">
        <v>1500</v>
      </c>
      <c r="E20" s="9">
        <f>IFERROR(C20+D20,0)</f>
        <v>5000</v>
      </c>
      <c r="F20" s="9">
        <f>IFERROR(B20-E20,0)</f>
        <v>0</v>
      </c>
      <c r="G20" s="27">
        <f>IFERROR(F20/B20,0)</f>
        <v>0</v>
      </c>
      <c r="H20" s="5" t="str">
        <f>IF(B20=0,"—",IF(E20&gt;B20,"🔴 Overrun",IF((B20-E20)/B20&lt;0.1,"🟡 At Risk","🟢 On Track")))</f>
        <v>🟡 At Risk</v>
      </c>
    </row>
    <row r="21" spans="1:8" ht="21.75" customHeight="1" x14ac:dyDescent="0.25">
      <c r="A21" s="2" t="s">
        <v>155</v>
      </c>
      <c r="B21" s="12">
        <v>10000</v>
      </c>
      <c r="C21" s="12">
        <v>6000</v>
      </c>
      <c r="D21" s="12">
        <v>4000</v>
      </c>
      <c r="E21" s="9">
        <f>IFERROR(C21+D21,0)</f>
        <v>10000</v>
      </c>
      <c r="F21" s="9">
        <f>IFERROR(B21-E21,0)</f>
        <v>0</v>
      </c>
      <c r="G21" s="27">
        <f>IFERROR(F21/B21,0)</f>
        <v>0</v>
      </c>
      <c r="H21" s="5" t="str">
        <f>IF(B21=0,"—",IF(E21&gt;B21,"🔴 Overrun",IF((B21-E21)/B21&lt;0.1,"🟡 At Risk","🟢 On Track")))</f>
        <v>🟡 At Risk</v>
      </c>
    </row>
    <row r="22" spans="1:8" ht="21.75" customHeight="1" x14ac:dyDescent="0.25">
      <c r="A22" s="28" t="s">
        <v>156</v>
      </c>
      <c r="B22" s="29">
        <f>SUM(B18:B21)</f>
        <v>55000</v>
      </c>
      <c r="C22" s="29">
        <f>SUM(C18:C21)</f>
        <v>39500</v>
      </c>
      <c r="D22" s="29">
        <f>SUM(D18:D21)</f>
        <v>16500</v>
      </c>
      <c r="E22" s="29">
        <f>IFERROR(C22+D22,0)</f>
        <v>56000</v>
      </c>
      <c r="F22" s="29">
        <f>IFERROR(B22-E22,0)</f>
        <v>-1000</v>
      </c>
      <c r="G22" s="30">
        <f>IFERROR(F22/B22,0)</f>
        <v>-1.8181818181818181E-2</v>
      </c>
      <c r="H22" s="5" t="str">
        <f>IF(B22=0,"—",IF(E22&gt;B22,"🔴 Overrun",IF((B22-E22)/B22&lt;0.1,"🟡 At Risk","🟢 On Track")))</f>
        <v>🔴 Overrun</v>
      </c>
    </row>
    <row r="24" spans="1:8" ht="21.75" customHeight="1" x14ac:dyDescent="0.25">
      <c r="A24" s="45" t="s">
        <v>157</v>
      </c>
      <c r="B24" s="45"/>
      <c r="C24" s="45"/>
      <c r="D24" s="45"/>
      <c r="E24" s="45"/>
      <c r="F24" s="45"/>
      <c r="G24" s="45"/>
      <c r="H24" s="45"/>
    </row>
    <row r="25" spans="1:8" ht="25.5" customHeight="1" x14ac:dyDescent="0.25">
      <c r="A25" s="3" t="s">
        <v>135</v>
      </c>
      <c r="B25" s="3" t="s">
        <v>136</v>
      </c>
      <c r="C25" s="3" t="s">
        <v>137</v>
      </c>
      <c r="D25" s="3" t="s">
        <v>138</v>
      </c>
      <c r="E25" s="3" t="s">
        <v>139</v>
      </c>
      <c r="F25" s="3" t="s">
        <v>140</v>
      </c>
      <c r="G25" s="3" t="s">
        <v>141</v>
      </c>
      <c r="H25" s="3" t="s">
        <v>142</v>
      </c>
    </row>
    <row r="26" spans="1:8" ht="21.75" customHeight="1" x14ac:dyDescent="0.25">
      <c r="A26" s="2" t="s">
        <v>158</v>
      </c>
      <c r="B26" s="12">
        <v>30000</v>
      </c>
      <c r="C26" s="12">
        <v>25000</v>
      </c>
      <c r="D26" s="12">
        <v>8000</v>
      </c>
      <c r="E26" s="9">
        <f>IFERROR(C26+D26,0)</f>
        <v>33000</v>
      </c>
      <c r="F26" s="9">
        <f>IFERROR(B26-E26,0)</f>
        <v>-3000</v>
      </c>
      <c r="G26" s="27">
        <f>IFERROR(F26/B26,0)</f>
        <v>-0.1</v>
      </c>
      <c r="H26" s="5" t="str">
        <f>IF(B26=0,"—",IF(E26&gt;B26,"🔴 Overrun",IF((B26-E26)/B26&lt;0.1,"🟡 At Risk","🟢 On Track")))</f>
        <v>🔴 Overrun</v>
      </c>
    </row>
    <row r="28" spans="1:8" ht="25.5" customHeight="1" x14ac:dyDescent="0.25">
      <c r="A28" s="21" t="s">
        <v>159</v>
      </c>
      <c r="B28" s="22">
        <f>B7+B14+B22+B26</f>
        <v>881000</v>
      </c>
      <c r="C28" s="22">
        <f>C7+C14+C22+C26</f>
        <v>759000</v>
      </c>
      <c r="D28" s="22">
        <f>D7+D14+D22+D26</f>
        <v>143300</v>
      </c>
      <c r="E28" s="22">
        <f>E7+E14+E22+E26</f>
        <v>902300</v>
      </c>
      <c r="F28" s="22">
        <f>F7+F14+F22+F26</f>
        <v>-21300</v>
      </c>
      <c r="G28" s="23">
        <f>IFERROR(F28/B28,0)</f>
        <v>-2.4177071509648127E-2</v>
      </c>
      <c r="H28" s="8" t="str">
        <f>IF(B28=0,"—",IF(E28&gt;B28,"🔴 Overrun",IF((B28-E28)/B28&lt;0.1,"🟡 At Risk","🟢 On Track")))</f>
        <v>🔴 Overrun</v>
      </c>
    </row>
    <row r="30" spans="1:8" ht="28.5" customHeight="1" x14ac:dyDescent="0.25">
      <c r="A30" s="37" t="s">
        <v>160</v>
      </c>
      <c r="B30" s="37"/>
      <c r="C30" s="37"/>
      <c r="D30" s="37"/>
      <c r="E30" s="37"/>
      <c r="F30" s="37"/>
      <c r="G30" s="37"/>
      <c r="H30" s="37"/>
    </row>
  </sheetData>
  <mergeCells count="7">
    <mergeCell ref="A24:H24"/>
    <mergeCell ref="A30:H30"/>
    <mergeCell ref="A1:H1"/>
    <mergeCell ref="A2:H2"/>
    <mergeCell ref="A3:H3"/>
    <mergeCell ref="A9:H9"/>
    <mergeCell ref="A16:H16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B4F72"/>
  </sheetPr>
  <dimension ref="A1:F24"/>
  <sheetViews>
    <sheetView zoomScaleNormal="100" workbookViewId="0">
      <pane ySplit="2" topLeftCell="A3" activePane="bottomLeft" state="frozen"/>
      <selection pane="bottomLeft" activeCell="F5" sqref="F5"/>
    </sheetView>
  </sheetViews>
  <sheetFormatPr defaultColWidth="8.7109375" defaultRowHeight="15" x14ac:dyDescent="0.25"/>
  <cols>
    <col min="1" max="1" width="34" style="1" customWidth="1"/>
    <col min="2" max="2" width="16" style="1" customWidth="1"/>
    <col min="3" max="4" width="18" style="1" customWidth="1"/>
    <col min="5" max="5" width="16" style="1" customWidth="1"/>
    <col min="6" max="6" width="41" style="1" customWidth="1"/>
    <col min="7" max="16384" width="8.7109375" style="1"/>
  </cols>
  <sheetData>
    <row r="1" spans="1:6" ht="30" customHeight="1" x14ac:dyDescent="0.25">
      <c r="A1" s="38" t="s">
        <v>161</v>
      </c>
      <c r="B1" s="38"/>
      <c r="C1" s="38"/>
      <c r="D1" s="38"/>
      <c r="E1" s="38"/>
      <c r="F1" s="38"/>
    </row>
    <row r="2" spans="1:6" ht="15" customHeight="1" x14ac:dyDescent="0.25">
      <c r="A2" s="39" t="s">
        <v>162</v>
      </c>
      <c r="B2" s="39"/>
      <c r="C2" s="39"/>
      <c r="D2" s="39"/>
      <c r="E2" s="39"/>
      <c r="F2" s="39"/>
    </row>
    <row r="3" spans="1:6" ht="21.75" customHeight="1" x14ac:dyDescent="0.25">
      <c r="A3" s="40" t="s">
        <v>163</v>
      </c>
      <c r="B3" s="40"/>
      <c r="C3" s="40"/>
      <c r="D3" s="40"/>
      <c r="E3" s="40"/>
      <c r="F3" s="40"/>
    </row>
    <row r="4" spans="1:6" ht="25.5" customHeight="1" x14ac:dyDescent="0.25">
      <c r="A4" s="3" t="s">
        <v>164</v>
      </c>
      <c r="B4" s="3" t="s">
        <v>136</v>
      </c>
      <c r="C4" s="3" t="s">
        <v>137</v>
      </c>
      <c r="D4" s="3" t="s">
        <v>165</v>
      </c>
      <c r="E4" s="3" t="s">
        <v>166</v>
      </c>
      <c r="F4" s="3" t="s">
        <v>48</v>
      </c>
    </row>
    <row r="5" spans="1:6" ht="24.75" customHeight="1" x14ac:dyDescent="0.25">
      <c r="A5" s="2" t="s">
        <v>167</v>
      </c>
      <c r="B5" s="9">
        <f>'📋 PROJECT SETUP'!B16</f>
        <v>1200000</v>
      </c>
      <c r="C5" s="10"/>
      <c r="D5" s="9">
        <f>IF('📋 PROJECT SETUP'!B7="T&amp;M",'⏱ TIME TRACKER'!B17,'📋 PROJECT SETUP'!B16)</f>
        <v>1200000</v>
      </c>
      <c r="E5" s="10"/>
      <c r="F5" s="11" t="s">
        <v>168</v>
      </c>
    </row>
    <row r="6" spans="1:6" ht="19.5" customHeight="1" x14ac:dyDescent="0.25">
      <c r="A6" s="2" t="s">
        <v>169</v>
      </c>
      <c r="B6" s="10"/>
      <c r="C6" s="12">
        <v>850000</v>
      </c>
      <c r="D6" s="10"/>
      <c r="E6" s="9">
        <f>IFERROR(C6-B5,0)</f>
        <v>-350000</v>
      </c>
      <c r="F6" s="13" t="s">
        <v>170</v>
      </c>
    </row>
    <row r="7" spans="1:6" ht="24.75" customHeight="1" x14ac:dyDescent="0.25">
      <c r="A7" s="2" t="s">
        <v>171</v>
      </c>
      <c r="B7" s="10"/>
      <c r="C7" s="12">
        <v>720000</v>
      </c>
      <c r="D7" s="10"/>
      <c r="E7" s="9">
        <f>IFERROR(C7-C6,0)</f>
        <v>-130000</v>
      </c>
      <c r="F7" s="14" t="s">
        <v>172</v>
      </c>
    </row>
    <row r="8" spans="1:6" ht="19.5" customHeight="1" x14ac:dyDescent="0.25">
      <c r="A8" s="15" t="s">
        <v>173</v>
      </c>
      <c r="B8" s="16"/>
      <c r="C8" s="17">
        <f>IFERROR(B5-C6,0)</f>
        <v>350000</v>
      </c>
      <c r="D8" s="16"/>
      <c r="E8" s="16"/>
      <c r="F8" s="14" t="s">
        <v>174</v>
      </c>
    </row>
    <row r="10" spans="1:6" ht="21.75" customHeight="1" x14ac:dyDescent="0.25">
      <c r="A10" s="41" t="s">
        <v>175</v>
      </c>
      <c r="B10" s="41"/>
      <c r="C10" s="41"/>
      <c r="D10" s="41"/>
      <c r="E10" s="41"/>
      <c r="F10" s="41"/>
    </row>
    <row r="11" spans="1:6" ht="25.5" customHeight="1" x14ac:dyDescent="0.25">
      <c r="A11" s="3" t="s">
        <v>164</v>
      </c>
      <c r="B11" s="3" t="s">
        <v>136</v>
      </c>
      <c r="C11" s="3" t="s">
        <v>137</v>
      </c>
      <c r="D11" s="3" t="s">
        <v>176</v>
      </c>
      <c r="E11" s="3" t="s">
        <v>166</v>
      </c>
      <c r="F11" s="3" t="s">
        <v>48</v>
      </c>
    </row>
    <row r="12" spans="1:6" ht="19.5" customHeight="1" x14ac:dyDescent="0.25">
      <c r="A12" s="2" t="s">
        <v>177</v>
      </c>
      <c r="B12" s="9">
        <f>'💸 COST TRACKER'!B7</f>
        <v>596000</v>
      </c>
      <c r="C12" s="9">
        <f>'💸 COST TRACKER'!C7</f>
        <v>519500</v>
      </c>
      <c r="D12" s="9">
        <f>'💸 COST TRACKER'!E7</f>
        <v>613300</v>
      </c>
      <c r="E12" s="9">
        <f>IFERROR(B12-D12,0)</f>
        <v>-17300</v>
      </c>
      <c r="F12" s="14" t="s">
        <v>178</v>
      </c>
    </row>
    <row r="13" spans="1:6" ht="19.5" customHeight="1" x14ac:dyDescent="0.25">
      <c r="A13" s="2" t="s">
        <v>179</v>
      </c>
      <c r="B13" s="9">
        <f>'💸 COST TRACKER'!B14</f>
        <v>200000</v>
      </c>
      <c r="C13" s="9">
        <f>'💸 COST TRACKER'!C14</f>
        <v>175000</v>
      </c>
      <c r="D13" s="9">
        <f>'💸 COST TRACKER'!E14</f>
        <v>200000</v>
      </c>
      <c r="E13" s="9">
        <f>IFERROR(B13-D13,0)</f>
        <v>0</v>
      </c>
      <c r="F13" s="14" t="s">
        <v>180</v>
      </c>
    </row>
    <row r="14" spans="1:6" ht="19.5" customHeight="1" x14ac:dyDescent="0.25">
      <c r="A14" s="2" t="s">
        <v>181</v>
      </c>
      <c r="B14" s="9">
        <f>'💸 COST TRACKER'!B22</f>
        <v>55000</v>
      </c>
      <c r="C14" s="9">
        <f>'💸 COST TRACKER'!C22</f>
        <v>39500</v>
      </c>
      <c r="D14" s="9">
        <f>'💸 COST TRACKER'!E22</f>
        <v>56000</v>
      </c>
      <c r="E14" s="9">
        <f>IFERROR(B14-D14,0)</f>
        <v>-1000</v>
      </c>
      <c r="F14" s="14" t="s">
        <v>182</v>
      </c>
    </row>
    <row r="15" spans="1:6" ht="19.5" customHeight="1" x14ac:dyDescent="0.25">
      <c r="A15" s="2" t="s">
        <v>183</v>
      </c>
      <c r="B15" s="9">
        <f>'💸 COST TRACKER'!B26</f>
        <v>30000</v>
      </c>
      <c r="C15" s="9">
        <f>'💸 COST TRACKER'!C26</f>
        <v>25000</v>
      </c>
      <c r="D15" s="9">
        <f>'💸 COST TRACKER'!E26</f>
        <v>33000</v>
      </c>
      <c r="E15" s="9">
        <f>IFERROR(B15-D15,0)</f>
        <v>-3000</v>
      </c>
      <c r="F15" s="14" t="s">
        <v>184</v>
      </c>
    </row>
    <row r="16" spans="1:6" ht="21.75" customHeight="1" x14ac:dyDescent="0.25">
      <c r="A16" s="18" t="s">
        <v>159</v>
      </c>
      <c r="B16" s="19">
        <f>SUM(B12:B15)</f>
        <v>881000</v>
      </c>
      <c r="C16" s="19">
        <f>SUM(C12:C15)</f>
        <v>759000</v>
      </c>
      <c r="D16" s="19">
        <f>SUM(D12:D15)</f>
        <v>902300</v>
      </c>
      <c r="E16" s="19">
        <f>SUM(E12:E15)</f>
        <v>-21300</v>
      </c>
      <c r="F16" s="20"/>
    </row>
    <row r="18" spans="1:6" ht="21.75" customHeight="1" x14ac:dyDescent="0.25">
      <c r="A18" s="47" t="s">
        <v>185</v>
      </c>
      <c r="B18" s="47"/>
      <c r="C18" s="47"/>
      <c r="D18" s="47"/>
      <c r="E18" s="47"/>
      <c r="F18" s="47"/>
    </row>
    <row r="19" spans="1:6" ht="25.5" customHeight="1" x14ac:dyDescent="0.25">
      <c r="A19" s="3" t="s">
        <v>186</v>
      </c>
      <c r="B19" s="3" t="s">
        <v>187</v>
      </c>
      <c r="C19" s="3" t="s">
        <v>188</v>
      </c>
      <c r="D19" s="3" t="s">
        <v>189</v>
      </c>
      <c r="E19" s="3" t="s">
        <v>190</v>
      </c>
      <c r="F19" s="3" t="s">
        <v>48</v>
      </c>
    </row>
    <row r="20" spans="1:6" ht="24" customHeight="1" x14ac:dyDescent="0.25">
      <c r="A20" s="21" t="s">
        <v>191</v>
      </c>
      <c r="B20" s="22">
        <f>B5-B16</f>
        <v>319000</v>
      </c>
      <c r="C20" s="22">
        <f>IFERROR(C6-C16,0)</f>
        <v>91000</v>
      </c>
      <c r="D20" s="22">
        <f>IFERROR(B5-D16,0)</f>
        <v>297700</v>
      </c>
      <c r="E20" s="22">
        <f>IFERROR(D20-B20,0)</f>
        <v>-21300</v>
      </c>
      <c r="F20" s="14" t="s">
        <v>192</v>
      </c>
    </row>
    <row r="21" spans="1:6" ht="36" customHeight="1" x14ac:dyDescent="0.25">
      <c r="A21" s="21" t="s">
        <v>193</v>
      </c>
      <c r="B21" s="23">
        <f>IFERROR(B20/B5,0)</f>
        <v>0.26583333333333331</v>
      </c>
      <c r="C21" s="23">
        <f>IFERROR(C20/C6,0)</f>
        <v>0.10705882352941176</v>
      </c>
      <c r="D21" s="23">
        <f>IFERROR(D20/D5,0)</f>
        <v>0.24808333333333332</v>
      </c>
      <c r="E21" s="23">
        <f>IFERROR(D21-B21,0)</f>
        <v>-1.7749999999999988E-2</v>
      </c>
      <c r="F21" s="14" t="s">
        <v>194</v>
      </c>
    </row>
    <row r="22" spans="1:6" ht="21.75" customHeight="1" x14ac:dyDescent="0.25">
      <c r="A22" s="24" t="s">
        <v>195</v>
      </c>
      <c r="B22" s="46"/>
      <c r="C22" s="46"/>
      <c r="D22" s="25">
        <f>IFERROR(D21-'📋 PROJECT SETUP'!B21,0)</f>
        <v>-0.10191666666666666</v>
      </c>
      <c r="E22" s="26"/>
      <c r="F22" s="24" t="str">
        <f>IF(D21&lt;'📋 PROJECT SETUP'!B22,"🔴 Below minimum threshold",IF(D21&lt;'📋 PROJECT SETUP'!B21,"🟡 Margin erosion — review costs","🟢 On track"))</f>
        <v>🔴 Below minimum threshold</v>
      </c>
    </row>
    <row r="24" spans="1:6" ht="15" customHeight="1" x14ac:dyDescent="0.25">
      <c r="A24" s="37" t="s">
        <v>196</v>
      </c>
      <c r="B24" s="37"/>
      <c r="C24" s="37"/>
      <c r="D24" s="37"/>
      <c r="E24" s="37"/>
      <c r="F24" s="37"/>
    </row>
  </sheetData>
  <mergeCells count="7">
    <mergeCell ref="B22:C22"/>
    <mergeCell ref="A24:F24"/>
    <mergeCell ref="A1:F1"/>
    <mergeCell ref="A2:F2"/>
    <mergeCell ref="A3:F3"/>
    <mergeCell ref="A10:F10"/>
    <mergeCell ref="A18:F18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4AC0D"/>
  </sheetPr>
  <dimension ref="A1:E32"/>
  <sheetViews>
    <sheetView zoomScaleNormal="100" workbookViewId="0">
      <pane ySplit="3" topLeftCell="A4" activePane="bottomLeft" state="frozen"/>
      <selection pane="bottomLeft" sqref="A1:XFD1048576"/>
    </sheetView>
  </sheetViews>
  <sheetFormatPr defaultColWidth="8.7109375" defaultRowHeight="15" x14ac:dyDescent="0.25"/>
  <cols>
    <col min="1" max="1" width="28" style="1" customWidth="1"/>
    <col min="2" max="3" width="16" style="1" customWidth="1"/>
    <col min="4" max="5" width="20" style="1" customWidth="1"/>
    <col min="6" max="16384" width="8.7109375" style="1"/>
  </cols>
  <sheetData>
    <row r="1" spans="1:5" ht="30" customHeight="1" x14ac:dyDescent="0.25">
      <c r="A1" s="38" t="s">
        <v>197</v>
      </c>
      <c r="B1" s="38"/>
      <c r="C1" s="38"/>
      <c r="D1" s="38"/>
      <c r="E1" s="38"/>
    </row>
    <row r="2" spans="1:5" ht="15" customHeight="1" x14ac:dyDescent="0.25">
      <c r="A2" s="39" t="s">
        <v>198</v>
      </c>
      <c r="B2" s="39"/>
      <c r="C2" s="39"/>
      <c r="D2" s="39"/>
      <c r="E2" s="39"/>
    </row>
    <row r="3" spans="1:5" ht="21.75" customHeight="1" x14ac:dyDescent="0.25">
      <c r="A3" s="40" t="s">
        <v>199</v>
      </c>
      <c r="B3" s="40"/>
      <c r="C3" s="40"/>
      <c r="D3" s="40"/>
      <c r="E3" s="40"/>
    </row>
    <row r="4" spans="1:5" ht="19.5" customHeight="1" x14ac:dyDescent="0.25">
      <c r="A4" s="2" t="s">
        <v>200</v>
      </c>
      <c r="B4" s="56" t="str">
        <f>'📋 PROJECT SETUP'!B5</f>
        <v>ERP Implementation — Rajesh Traders</v>
      </c>
      <c r="C4" s="56"/>
      <c r="D4" s="57"/>
      <c r="E4" s="57"/>
    </row>
    <row r="5" spans="1:5" ht="19.5" customHeight="1" x14ac:dyDescent="0.25">
      <c r="A5" s="2" t="s">
        <v>201</v>
      </c>
      <c r="B5" s="56" t="str">
        <f>'📋 PROJECT SETUP'!B6</f>
        <v>Rajesh Traders Pvt Ltd</v>
      </c>
      <c r="C5" s="56"/>
      <c r="D5" s="57"/>
      <c r="E5" s="57"/>
    </row>
    <row r="6" spans="1:5" ht="19.5" customHeight="1" x14ac:dyDescent="0.25">
      <c r="A6" s="2" t="s">
        <v>58</v>
      </c>
      <c r="B6" s="56" t="str">
        <f>'📋 PROJECT SETUP'!B8</f>
        <v>Priya Sharma</v>
      </c>
      <c r="C6" s="56"/>
      <c r="D6" s="57"/>
      <c r="E6" s="57"/>
    </row>
    <row r="7" spans="1:5" ht="19.5" customHeight="1" x14ac:dyDescent="0.25">
      <c r="A7" s="2" t="s">
        <v>64</v>
      </c>
      <c r="B7" s="56" t="str">
        <f>'📋 PROJECT SETUP'!B10</f>
        <v>2025-04-01</v>
      </c>
      <c r="C7" s="56"/>
      <c r="D7" s="57"/>
      <c r="E7" s="57"/>
    </row>
    <row r="8" spans="1:5" ht="19.5" customHeight="1" x14ac:dyDescent="0.25">
      <c r="A8" s="2" t="s">
        <v>66</v>
      </c>
      <c r="B8" s="56" t="str">
        <f>'📋 PROJECT SETUP'!B11</f>
        <v>2025-09-30</v>
      </c>
      <c r="C8" s="56"/>
      <c r="D8" s="57"/>
      <c r="E8" s="57"/>
    </row>
    <row r="9" spans="1:5" ht="19.5" customHeight="1" x14ac:dyDescent="0.25">
      <c r="A9" s="2" t="s">
        <v>202</v>
      </c>
      <c r="B9" s="56" t="str">
        <f>'📋 PROJECT SETUP'!B12</f>
        <v>2025-10-15</v>
      </c>
      <c r="C9" s="56"/>
      <c r="D9" s="57"/>
      <c r="E9" s="57"/>
    </row>
    <row r="10" spans="1:5" ht="21.75" customHeight="1" x14ac:dyDescent="0.25">
      <c r="A10" s="2" t="s">
        <v>203</v>
      </c>
      <c r="B10" s="52">
        <f ca="1">IFERROR((TODAY()-'📋 PROJECT SETUP'!B10)/('📋 PROJECT SETUP'!B11-'📋 PROJECT SETUP'!B10),0)</f>
        <v>2.9065934065934065</v>
      </c>
      <c r="C10" s="52"/>
      <c r="D10" s="58" t="str">
        <f ca="1">IF(IFERROR((TODAY()-'📋 PROJECT SETUP'!B10)/('📋 PROJECT SETUP'!B11-'📋 PROJECT SETUP'!B10),0)&gt;1,"🔴 Past planned end date",IF(IFERROR((TODAY()-'📋 PROJECT SETUP'!B10)/('📋 PROJECT SETUP'!B11-'📋 PROJECT SETUP'!B10),0)&gt;0.8,"🟡 In final 20% of schedule","🟢 Within planned schedule"))</f>
        <v>🔴 Past planned end date</v>
      </c>
      <c r="E10" s="58"/>
    </row>
    <row r="11" spans="1:5" ht="24" customHeight="1" x14ac:dyDescent="0.25">
      <c r="A11" s="53" t="s">
        <v>204</v>
      </c>
      <c r="B11" s="53"/>
      <c r="C11" s="53"/>
      <c r="D11" s="53"/>
      <c r="E11" s="53"/>
    </row>
    <row r="12" spans="1:5" ht="21.75" customHeight="1" x14ac:dyDescent="0.25">
      <c r="A12" s="2" t="s">
        <v>205</v>
      </c>
      <c r="B12" s="54">
        <f>'📊 PROJECT P&amp;L'!D21</f>
        <v>0.24808333333333332</v>
      </c>
      <c r="C12" s="54"/>
      <c r="D12" s="37" t="s">
        <v>206</v>
      </c>
      <c r="E12" s="37"/>
    </row>
    <row r="13" spans="1:5" ht="21.75" customHeight="1" x14ac:dyDescent="0.25">
      <c r="A13" s="2" t="s">
        <v>195</v>
      </c>
      <c r="B13" s="55">
        <f>'📊 PROJECT P&amp;L'!D22</f>
        <v>-0.10191666666666666</v>
      </c>
      <c r="C13" s="55"/>
      <c r="D13" s="37" t="s">
        <v>207</v>
      </c>
      <c r="E13" s="37"/>
    </row>
    <row r="14" spans="1:5" ht="21.75" customHeight="1" x14ac:dyDescent="0.25">
      <c r="A14" s="2" t="s">
        <v>208</v>
      </c>
      <c r="B14" s="51">
        <f>'💸 COST TRACKER'!F28</f>
        <v>-21300</v>
      </c>
      <c r="C14" s="51"/>
      <c r="D14" s="37" t="s">
        <v>209</v>
      </c>
      <c r="E14" s="37"/>
    </row>
    <row r="15" spans="1:5" ht="21.75" customHeight="1" x14ac:dyDescent="0.25">
      <c r="A15" s="2" t="s">
        <v>210</v>
      </c>
      <c r="B15" s="52">
        <f>'⏱ TIME TRACKER'!B18</f>
        <v>0.87647058823529411</v>
      </c>
      <c r="C15" s="52"/>
      <c r="D15" s="37" t="s">
        <v>211</v>
      </c>
      <c r="E15" s="37"/>
    </row>
    <row r="16" spans="1:5" ht="21.75" customHeight="1" x14ac:dyDescent="0.25">
      <c r="A16" s="2" t="s">
        <v>212</v>
      </c>
      <c r="B16" s="49">
        <f>'📊 PROJECT P&amp;L'!C6</f>
        <v>850000</v>
      </c>
      <c r="C16" s="49"/>
      <c r="D16" s="37"/>
      <c r="E16" s="37"/>
    </row>
    <row r="17" spans="1:5" ht="21.75" customHeight="1" x14ac:dyDescent="0.25">
      <c r="A17" s="2" t="s">
        <v>213</v>
      </c>
      <c r="B17" s="49">
        <f>'📊 PROJECT P&amp;L'!C8</f>
        <v>350000</v>
      </c>
      <c r="C17" s="49"/>
      <c r="D17" s="37"/>
      <c r="E17" s="37"/>
    </row>
    <row r="18" spans="1:5" ht="21.75" customHeight="1" x14ac:dyDescent="0.25">
      <c r="A18" s="2" t="s">
        <v>214</v>
      </c>
      <c r="B18" s="50">
        <f>'📊 PROJECT P&amp;L'!C7</f>
        <v>720000</v>
      </c>
      <c r="C18" s="50"/>
      <c r="D18" s="37"/>
      <c r="E18" s="37"/>
    </row>
    <row r="20" spans="1:5" ht="21.75" customHeight="1" x14ac:dyDescent="0.25">
      <c r="A20" s="45" t="s">
        <v>215</v>
      </c>
      <c r="B20" s="45"/>
      <c r="C20" s="45"/>
      <c r="D20" s="45"/>
      <c r="E20" s="45"/>
    </row>
    <row r="21" spans="1:5" ht="19.5" customHeight="1" x14ac:dyDescent="0.25">
      <c r="A21" s="3" t="s">
        <v>216</v>
      </c>
      <c r="B21" s="3" t="s">
        <v>187</v>
      </c>
      <c r="C21" s="3" t="s">
        <v>217</v>
      </c>
      <c r="D21" s="3" t="s">
        <v>218</v>
      </c>
      <c r="E21" s="3" t="s">
        <v>142</v>
      </c>
    </row>
    <row r="22" spans="1:5" ht="19.5" customHeight="1" x14ac:dyDescent="0.25">
      <c r="A22" s="2" t="s">
        <v>219</v>
      </c>
      <c r="B22" s="4">
        <f>'💸 COST TRACKER'!B7</f>
        <v>596000</v>
      </c>
      <c r="C22" s="4">
        <f>'💸 COST TRACKER'!C7</f>
        <v>519500</v>
      </c>
      <c r="D22" s="4">
        <f>'💸 COST TRACKER'!E7</f>
        <v>613300</v>
      </c>
      <c r="E22" s="5" t="str">
        <f>'💸 COST TRACKER'!H7</f>
        <v>🔴 Overrun</v>
      </c>
    </row>
    <row r="23" spans="1:5" ht="19.5" customHeight="1" x14ac:dyDescent="0.25">
      <c r="A23" s="2" t="s">
        <v>179</v>
      </c>
      <c r="B23" s="4">
        <f>'💸 COST TRACKER'!B14</f>
        <v>200000</v>
      </c>
      <c r="C23" s="4">
        <f>'💸 COST TRACKER'!C14</f>
        <v>175000</v>
      </c>
      <c r="D23" s="4">
        <f>'💸 COST TRACKER'!E14</f>
        <v>200000</v>
      </c>
      <c r="E23" s="5" t="str">
        <f>'💸 COST TRACKER'!H14</f>
        <v>🟡 At Risk</v>
      </c>
    </row>
    <row r="24" spans="1:5" ht="19.5" customHeight="1" x14ac:dyDescent="0.25">
      <c r="A24" s="2" t="s">
        <v>181</v>
      </c>
      <c r="B24" s="4">
        <f>'💸 COST TRACKER'!B22</f>
        <v>55000</v>
      </c>
      <c r="C24" s="4">
        <f>'💸 COST TRACKER'!C22</f>
        <v>39500</v>
      </c>
      <c r="D24" s="4">
        <f>'💸 COST TRACKER'!E22</f>
        <v>56000</v>
      </c>
      <c r="E24" s="5" t="str">
        <f>'💸 COST TRACKER'!H22</f>
        <v>🔴 Overrun</v>
      </c>
    </row>
    <row r="25" spans="1:5" ht="19.5" customHeight="1" x14ac:dyDescent="0.25">
      <c r="A25" s="2" t="s">
        <v>220</v>
      </c>
      <c r="B25" s="4">
        <f>'💸 COST TRACKER'!B26</f>
        <v>30000</v>
      </c>
      <c r="C25" s="4">
        <f>'💸 COST TRACKER'!C26</f>
        <v>25000</v>
      </c>
      <c r="D25" s="4">
        <f>'💸 COST TRACKER'!E26</f>
        <v>33000</v>
      </c>
      <c r="E25" s="5" t="str">
        <f>'💸 COST TRACKER'!H26</f>
        <v>🔴 Overrun</v>
      </c>
    </row>
    <row r="26" spans="1:5" ht="21.75" customHeight="1" x14ac:dyDescent="0.25">
      <c r="A26" s="6" t="s">
        <v>221</v>
      </c>
      <c r="B26" s="7">
        <f>'💸 COST TRACKER'!B28</f>
        <v>881000</v>
      </c>
      <c r="C26" s="7">
        <f>'💸 COST TRACKER'!C28</f>
        <v>759000</v>
      </c>
      <c r="D26" s="7">
        <f>'💸 COST TRACKER'!E28</f>
        <v>902300</v>
      </c>
      <c r="E26" s="8" t="str">
        <f>'💸 COST TRACKER'!H28</f>
        <v>🔴 Overrun</v>
      </c>
    </row>
    <row r="28" spans="1:5" ht="21.75" customHeight="1" x14ac:dyDescent="0.25">
      <c r="A28" s="40" t="s">
        <v>222</v>
      </c>
      <c r="B28" s="40"/>
      <c r="C28" s="40"/>
      <c r="D28" s="40"/>
      <c r="E28" s="40"/>
    </row>
    <row r="29" spans="1:5" ht="21.75" customHeight="1" x14ac:dyDescent="0.25">
      <c r="A29" s="2" t="s">
        <v>223</v>
      </c>
      <c r="B29" s="48" t="str">
        <f>IF('📊 PROJECT P&amp;L'!D21&lt;'📋 PROJECT SETUP'!B22,"🔴 Forecast margin below minimum threshold — immediate review needed",IF('📊 PROJECT P&amp;L'!D21&lt;'📋 PROJECT SETUP'!B21,"🟡 Margin erosion detected — review cost overruns and scope","🟢 Margin on track"))</f>
        <v>🔴 Forecast margin below minimum threshold — immediate review needed</v>
      </c>
      <c r="C29" s="48"/>
      <c r="D29" s="48"/>
      <c r="E29" s="48"/>
    </row>
    <row r="30" spans="1:5" ht="21.75" customHeight="1" x14ac:dyDescent="0.25">
      <c r="A30" s="2" t="s">
        <v>224</v>
      </c>
      <c r="B30" s="48" t="str">
        <f>IF('💸 COST TRACKER'!F28&lt;0,"🔴 Overall cost overrun of Rs."&amp;TEXT(-'💸 COST TRACKER'!F28,"#,##0")&amp;" — escalate immediately","🟢 Total cost within budget")</f>
        <v>🔴 Overall cost overrun of Rs.21,300 — escalate immediately</v>
      </c>
      <c r="C30" s="48"/>
      <c r="D30" s="48"/>
      <c r="E30" s="48"/>
    </row>
    <row r="31" spans="1:5" ht="21.75" customHeight="1" x14ac:dyDescent="0.25">
      <c r="A31" s="2" t="s">
        <v>225</v>
      </c>
      <c r="B31" s="48" t="str">
        <f>IF('⏱ TIME TRACKER'!B18&lt;0.8,"🟡 Billing efficiency below 80% target — "&amp;TEXT((1-'⏱ TIME TRACKER'!B18)*100,"0")&amp;"% of hours unaccounted for","🟢 Billing efficiency on track ("&amp;TEXT('⏱ TIME TRACKER'!B18,"0%")&amp;" vs 80% target)")</f>
        <v>🟢 Billing efficiency on track (88% vs 80% target)</v>
      </c>
      <c r="C31" s="48"/>
      <c r="D31" s="48"/>
      <c r="E31" s="48"/>
    </row>
    <row r="32" spans="1:5" ht="21.75" customHeight="1" x14ac:dyDescent="0.25">
      <c r="A32" s="2" t="s">
        <v>226</v>
      </c>
      <c r="B32" s="48" t="str">
        <f>IF('📊 PROJECT P&amp;L'!C8&gt;0,"📋 Outstanding to invoice: Rs."&amp;TEXT('📊 PROJECT P&amp;L'!C8,"#,##0")&amp;" — raise invoice","✅ Fully invoiced")</f>
        <v>📋 Outstanding to invoice: Rs.350,000 — raise invoice</v>
      </c>
      <c r="C32" s="48"/>
      <c r="D32" s="48"/>
      <c r="E32" s="48"/>
    </row>
  </sheetData>
  <sheetProtection algorithmName="SHA-512" hashValue="LhcSsMZyC0TF5roQO2CErTi1PATMT9Cd4c8MU5vQ/HetShBqDDSoLDHd9mfrVPJQC9/W3A0WdofISW2Z7xt8Lg==" saltValue="dbLwkFkMLSd0YXZwKMS9Ig==" spinCount="100000" sheet="1" objects="1" scenarios="1"/>
  <mergeCells count="38">
    <mergeCell ref="A1:E1"/>
    <mergeCell ref="A2:E2"/>
    <mergeCell ref="A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A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A20:E20"/>
    <mergeCell ref="A28:E28"/>
    <mergeCell ref="B29:E29"/>
    <mergeCell ref="B30:E30"/>
    <mergeCell ref="B31:E31"/>
    <mergeCell ref="B32:E3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E86C1"/>
  </sheetPr>
  <dimension ref="A1:B33"/>
  <sheetViews>
    <sheetView topLeftCell="A13" zoomScaleNormal="100" workbookViewId="0">
      <selection activeCell="A13" sqref="A13:B13"/>
    </sheetView>
  </sheetViews>
  <sheetFormatPr defaultColWidth="8.7109375" defaultRowHeight="15" x14ac:dyDescent="0.25"/>
  <cols>
    <col min="1" max="1" width="6" style="1" customWidth="1"/>
    <col min="2" max="2" width="96" style="1" customWidth="1"/>
    <col min="3" max="16384" width="8.7109375" style="1"/>
  </cols>
  <sheetData>
    <row r="1" spans="1:2" ht="30" customHeight="1" x14ac:dyDescent="0.25">
      <c r="A1" s="38" t="s">
        <v>227</v>
      </c>
      <c r="B1" s="38"/>
    </row>
    <row r="3" spans="1:2" ht="19.5" customHeight="1" x14ac:dyDescent="0.25">
      <c r="A3" s="61" t="s">
        <v>228</v>
      </c>
      <c r="B3" s="61"/>
    </row>
    <row r="4" spans="1:2" ht="19.5" customHeight="1" x14ac:dyDescent="0.25">
      <c r="A4" s="40" t="s">
        <v>229</v>
      </c>
      <c r="B4" s="40"/>
    </row>
    <row r="5" spans="1:2" ht="33.75" customHeight="1" x14ac:dyDescent="0.25">
      <c r="A5" s="59" t="s">
        <v>230</v>
      </c>
      <c r="B5" s="59"/>
    </row>
    <row r="6" spans="1:2" ht="19.5" customHeight="1" x14ac:dyDescent="0.25">
      <c r="A6" s="40" t="s">
        <v>231</v>
      </c>
      <c r="B6" s="40"/>
    </row>
    <row r="7" spans="1:2" ht="33.75" customHeight="1" x14ac:dyDescent="0.25">
      <c r="A7" s="59" t="s">
        <v>232</v>
      </c>
      <c r="B7" s="59"/>
    </row>
    <row r="8" spans="1:2" ht="19.5" customHeight="1" x14ac:dyDescent="0.25">
      <c r="A8" s="40" t="s">
        <v>233</v>
      </c>
      <c r="B8" s="40"/>
    </row>
    <row r="9" spans="1:2" ht="40.5" customHeight="1" x14ac:dyDescent="0.25">
      <c r="A9" s="59" t="s">
        <v>234</v>
      </c>
      <c r="B9" s="59"/>
    </row>
    <row r="10" spans="1:2" ht="19.5" customHeight="1" x14ac:dyDescent="0.25">
      <c r="A10" s="40" t="s">
        <v>235</v>
      </c>
      <c r="B10" s="40"/>
    </row>
    <row r="11" spans="1:2" ht="42.75" customHeight="1" x14ac:dyDescent="0.25">
      <c r="A11" s="59" t="s">
        <v>236</v>
      </c>
      <c r="B11" s="59"/>
    </row>
    <row r="12" spans="1:2" ht="19.5" customHeight="1" x14ac:dyDescent="0.25">
      <c r="A12" s="40" t="s">
        <v>237</v>
      </c>
      <c r="B12" s="40"/>
    </row>
    <row r="13" spans="1:2" ht="37.5" customHeight="1" x14ac:dyDescent="0.25">
      <c r="A13" s="59" t="s">
        <v>238</v>
      </c>
      <c r="B13" s="59"/>
    </row>
    <row r="15" spans="1:2" ht="19.5" customHeight="1" x14ac:dyDescent="0.25">
      <c r="A15" s="61" t="s">
        <v>239</v>
      </c>
      <c r="B15" s="61"/>
    </row>
    <row r="16" spans="1:2" ht="33.75" customHeight="1" x14ac:dyDescent="0.25">
      <c r="A16" s="59" t="s">
        <v>240</v>
      </c>
      <c r="B16" s="59"/>
    </row>
    <row r="17" spans="1:2" ht="33.75" customHeight="1" x14ac:dyDescent="0.25">
      <c r="A17" s="59" t="s">
        <v>241</v>
      </c>
      <c r="B17" s="59"/>
    </row>
    <row r="18" spans="1:2" ht="33.75" customHeight="1" x14ac:dyDescent="0.25">
      <c r="A18" s="59" t="s">
        <v>242</v>
      </c>
      <c r="B18" s="59"/>
    </row>
    <row r="19" spans="1:2" ht="33.75" customHeight="1" x14ac:dyDescent="0.25">
      <c r="A19" s="59" t="s">
        <v>243</v>
      </c>
      <c r="B19" s="59"/>
    </row>
    <row r="20" spans="1:2" ht="33.75" customHeight="1" x14ac:dyDescent="0.25">
      <c r="A20" s="59" t="s">
        <v>244</v>
      </c>
      <c r="B20" s="59"/>
    </row>
    <row r="22" spans="1:2" ht="19.5" customHeight="1" x14ac:dyDescent="0.25">
      <c r="A22" s="61" t="s">
        <v>245</v>
      </c>
      <c r="B22" s="61"/>
    </row>
    <row r="23" spans="1:2" ht="33.75" customHeight="1" x14ac:dyDescent="0.25">
      <c r="A23" s="59" t="s">
        <v>246</v>
      </c>
      <c r="B23" s="59"/>
    </row>
    <row r="24" spans="1:2" ht="33.75" customHeight="1" x14ac:dyDescent="0.25">
      <c r="A24" s="59" t="s">
        <v>247</v>
      </c>
      <c r="B24" s="59"/>
    </row>
    <row r="25" spans="1:2" ht="33.75" customHeight="1" x14ac:dyDescent="0.25">
      <c r="A25" s="59" t="s">
        <v>248</v>
      </c>
      <c r="B25" s="59"/>
    </row>
    <row r="26" spans="1:2" ht="33.75" customHeight="1" x14ac:dyDescent="0.25">
      <c r="A26" s="59" t="s">
        <v>249</v>
      </c>
      <c r="B26" s="59"/>
    </row>
    <row r="28" spans="1:2" ht="19.5" customHeight="1" x14ac:dyDescent="0.25">
      <c r="A28" s="61" t="s">
        <v>250</v>
      </c>
      <c r="B28" s="61"/>
    </row>
    <row r="29" spans="1:2" ht="33.75" customHeight="1" x14ac:dyDescent="0.25">
      <c r="A29" s="59" t="s">
        <v>251</v>
      </c>
      <c r="B29" s="59"/>
    </row>
    <row r="30" spans="1:2" ht="33.75" customHeight="1" x14ac:dyDescent="0.25">
      <c r="A30" s="59" t="s">
        <v>252</v>
      </c>
      <c r="B30" s="59"/>
    </row>
    <row r="31" spans="1:2" ht="33.75" customHeight="1" x14ac:dyDescent="0.25">
      <c r="A31" s="59" t="s">
        <v>253</v>
      </c>
      <c r="B31" s="59"/>
    </row>
    <row r="33" spans="1:2" ht="15.75" customHeight="1" x14ac:dyDescent="0.25">
      <c r="A33" s="60" t="s">
        <v>254</v>
      </c>
      <c r="B33" s="60"/>
    </row>
  </sheetData>
  <mergeCells count="2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  <mergeCell ref="A20:B20"/>
    <mergeCell ref="A22:B22"/>
    <mergeCell ref="A23:B23"/>
    <mergeCell ref="A30:B30"/>
    <mergeCell ref="A31:B31"/>
    <mergeCell ref="A33:B33"/>
    <mergeCell ref="A24:B24"/>
    <mergeCell ref="A25:B25"/>
    <mergeCell ref="A26:B26"/>
    <mergeCell ref="A28:B28"/>
    <mergeCell ref="A29:B2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🏠 COVER</vt:lpstr>
      <vt:lpstr>📋 PROJECT SETUP</vt:lpstr>
      <vt:lpstr>⏱ TIME TRACKER</vt:lpstr>
      <vt:lpstr>💸 COST TRACKER</vt:lpstr>
      <vt:lpstr>📊 PROJECT P&amp;L</vt:lpstr>
      <vt:lpstr>🚦 DASHBOARD</vt:lpstr>
      <vt:lpstr>📖 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madhu roy</cp:lastModifiedBy>
  <cp:revision>0</cp:revision>
  <dcterms:created xsi:type="dcterms:W3CDTF">2026-09-10T17:06:58Z</dcterms:created>
  <dcterms:modified xsi:type="dcterms:W3CDTF">2026-09-12T13:35:36Z</dcterms:modified>
  <dc:language>en-US</dc:language>
</cp:coreProperties>
</file>