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ACER Data website\MAYA\CAMSROY website\Excel Template\product pricing\"/>
    </mc:Choice>
  </mc:AlternateContent>
  <xr:revisionPtr revIDLastSave="0" documentId="8_{8BEBEA92-88BA-47E6-9378-2B746841DEAC}" xr6:coauthVersionLast="47" xr6:coauthVersionMax="47" xr10:uidLastSave="{00000000-0000-0000-0000-000000000000}"/>
  <bookViews>
    <workbookView xWindow="-120" yWindow="-120" windowWidth="25440" windowHeight="15270" tabRatio="500" firstSheet="5" activeTab="7" xr2:uid="{00000000-000D-0000-FFFF-FFFF00000000}"/>
  </bookViews>
  <sheets>
    <sheet name="🏠 COVER" sheetId="1" r:id="rId1"/>
    <sheet name="📖 HOW TO USE" sheetId="8" r:id="rId2"/>
    <sheet name="⚙ SETUP" sheetId="2" r:id="rId3"/>
    <sheet name="📦 PRODUCT INPUTS" sheetId="3" r:id="rId4"/>
    <sheet name="💰 COST-PLUS PRICING" sheetId="4" r:id="rId5"/>
    <sheet name="🎯 VALUE-BASED PRICING" sheetId="5" r:id="rId6"/>
    <sheet name="📊 PRICE SENSITIVITY" sheetId="6" r:id="rId7"/>
    <sheet name="📈 DASHBOARD" sheetId="7" r:id="rId8"/>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27" i="7" l="1"/>
  <c r="A26" i="7"/>
  <c r="A25" i="7"/>
  <c r="A24" i="7"/>
  <c r="A23" i="7"/>
  <c r="B19" i="7"/>
  <c r="B18" i="7"/>
  <c r="B17" i="7"/>
  <c r="B16" i="7"/>
  <c r="B15" i="7"/>
  <c r="B14" i="7"/>
  <c r="A9" i="7"/>
  <c r="A8" i="7"/>
  <c r="A7" i="7"/>
  <c r="A6" i="7"/>
  <c r="A5" i="7"/>
  <c r="A76" i="6"/>
  <c r="A75" i="6"/>
  <c r="A74" i="6"/>
  <c r="A73" i="6"/>
  <c r="A72" i="6"/>
  <c r="A71" i="6"/>
  <c r="A70" i="6"/>
  <c r="A69" i="6"/>
  <c r="A68" i="6"/>
  <c r="E67" i="6"/>
  <c r="G67" i="6" s="1"/>
  <c r="A67" i="6"/>
  <c r="A66" i="6"/>
  <c r="A65" i="6"/>
  <c r="A61" i="6"/>
  <c r="A60" i="6"/>
  <c r="A59" i="6"/>
  <c r="A58" i="6"/>
  <c r="A57" i="6"/>
  <c r="A56" i="6"/>
  <c r="A55" i="6"/>
  <c r="A54" i="6"/>
  <c r="A53" i="6"/>
  <c r="A52" i="6"/>
  <c r="A51" i="6"/>
  <c r="A50" i="6"/>
  <c r="A46" i="6"/>
  <c r="A45" i="6"/>
  <c r="A44" i="6"/>
  <c r="A43" i="6"/>
  <c r="A42" i="6"/>
  <c r="A41" i="6"/>
  <c r="A40" i="6"/>
  <c r="A39" i="6"/>
  <c r="A38" i="6"/>
  <c r="A37" i="6"/>
  <c r="A36" i="6"/>
  <c r="E35" i="6"/>
  <c r="C35" i="6"/>
  <c r="B35" i="6"/>
  <c r="A35" i="6"/>
  <c r="A31" i="6"/>
  <c r="A30" i="6"/>
  <c r="A29" i="6"/>
  <c r="A28" i="6"/>
  <c r="A27" i="6"/>
  <c r="A26" i="6"/>
  <c r="A25" i="6"/>
  <c r="A24" i="6"/>
  <c r="A23" i="6"/>
  <c r="A22" i="6"/>
  <c r="A21" i="6"/>
  <c r="A20" i="6"/>
  <c r="A16" i="6"/>
  <c r="A15" i="6"/>
  <c r="A14" i="6"/>
  <c r="A13" i="6"/>
  <c r="A12" i="6"/>
  <c r="A11" i="6"/>
  <c r="A10" i="6"/>
  <c r="A9" i="6"/>
  <c r="A8" i="6"/>
  <c r="A7" i="6"/>
  <c r="A6" i="6"/>
  <c r="A5" i="6"/>
  <c r="F21" i="5"/>
  <c r="E21" i="5"/>
  <c r="D21" i="5"/>
  <c r="C21" i="5"/>
  <c r="B21" i="5"/>
  <c r="F18" i="5"/>
  <c r="F19" i="5" s="1"/>
  <c r="E18" i="5"/>
  <c r="E19" i="5" s="1"/>
  <c r="D18" i="5"/>
  <c r="D19" i="5" s="1"/>
  <c r="C18" i="5"/>
  <c r="C19" i="5" s="1"/>
  <c r="B18" i="5"/>
  <c r="B19" i="5" s="1"/>
  <c r="F12" i="5"/>
  <c r="E12" i="5"/>
  <c r="D12" i="5"/>
  <c r="C12" i="5"/>
  <c r="B12" i="5"/>
  <c r="F11" i="5"/>
  <c r="E11" i="5"/>
  <c r="D11" i="5"/>
  <c r="C11" i="5"/>
  <c r="B11" i="5"/>
  <c r="F10" i="5"/>
  <c r="E10" i="5"/>
  <c r="D10" i="5"/>
  <c r="C10" i="5"/>
  <c r="B10" i="5"/>
  <c r="F7" i="5"/>
  <c r="E7" i="5"/>
  <c r="D7" i="5"/>
  <c r="C7" i="5"/>
  <c r="B7" i="5"/>
  <c r="F5" i="5"/>
  <c r="E5" i="5"/>
  <c r="D5" i="5"/>
  <c r="C5" i="5"/>
  <c r="B5" i="5"/>
  <c r="F27" i="4"/>
  <c r="E27" i="4"/>
  <c r="D27" i="4"/>
  <c r="C27" i="4"/>
  <c r="B27" i="4"/>
  <c r="F26" i="4"/>
  <c r="E26" i="4"/>
  <c r="D26" i="4"/>
  <c r="C26" i="4"/>
  <c r="B26" i="4"/>
  <c r="F19" i="4"/>
  <c r="E19" i="4"/>
  <c r="D19" i="4"/>
  <c r="C19" i="4"/>
  <c r="B19" i="4"/>
  <c r="F11" i="4"/>
  <c r="E11" i="4"/>
  <c r="D11" i="4"/>
  <c r="C11" i="4"/>
  <c r="B11" i="4"/>
  <c r="F8" i="4"/>
  <c r="E8" i="4"/>
  <c r="D8" i="4"/>
  <c r="C8" i="4"/>
  <c r="B8" i="4"/>
  <c r="F5" i="4"/>
  <c r="E5" i="4"/>
  <c r="D5" i="4"/>
  <c r="C5" i="4"/>
  <c r="B5" i="4"/>
  <c r="E9" i="3"/>
  <c r="D9" i="3"/>
  <c r="G8" i="3"/>
  <c r="G7" i="3"/>
  <c r="G6" i="3"/>
  <c r="H5" i="3"/>
  <c r="G5" i="3"/>
  <c r="C6" i="4" s="1"/>
  <c r="G4" i="3"/>
  <c r="B76" i="6" l="1"/>
  <c r="C76" i="6"/>
  <c r="E76" i="6"/>
  <c r="G76" i="6" s="1"/>
  <c r="F76" i="6"/>
  <c r="H76" i="6" s="1"/>
  <c r="E75" i="6"/>
  <c r="C75" i="6"/>
  <c r="B75" i="6"/>
  <c r="B74" i="6"/>
  <c r="E74" i="6"/>
  <c r="C74" i="6"/>
  <c r="C73" i="6"/>
  <c r="E73" i="6"/>
  <c r="B73" i="6"/>
  <c r="B72" i="6"/>
  <c r="E72" i="6"/>
  <c r="C72" i="6"/>
  <c r="B71" i="6"/>
  <c r="E71" i="6"/>
  <c r="C71" i="6"/>
  <c r="B70" i="6"/>
  <c r="E70" i="6"/>
  <c r="C70" i="6"/>
  <c r="E69" i="6"/>
  <c r="B69" i="6"/>
  <c r="C69" i="6"/>
  <c r="E68" i="6"/>
  <c r="C68" i="6"/>
  <c r="B68" i="6"/>
  <c r="B67" i="6"/>
  <c r="F67" i="6"/>
  <c r="H67" i="6" s="1"/>
  <c r="C67" i="6"/>
  <c r="E66" i="6"/>
  <c r="C66" i="6"/>
  <c r="B66" i="6"/>
  <c r="C65" i="6"/>
  <c r="B65" i="6"/>
  <c r="E65" i="6"/>
  <c r="C61" i="6"/>
  <c r="B61" i="6"/>
  <c r="E61" i="6"/>
  <c r="C60" i="6"/>
  <c r="E60" i="6"/>
  <c r="B60" i="6"/>
  <c r="E59" i="6"/>
  <c r="G59" i="6" s="1"/>
  <c r="B59" i="6"/>
  <c r="C59" i="6"/>
  <c r="F59" i="6"/>
  <c r="H59" i="6" s="1"/>
  <c r="C58" i="6"/>
  <c r="E58" i="6"/>
  <c r="B58" i="6"/>
  <c r="C57" i="6"/>
  <c r="B57" i="6"/>
  <c r="E57" i="6"/>
  <c r="G57" i="6" s="1"/>
  <c r="F57" i="6"/>
  <c r="H57" i="6" s="1"/>
  <c r="C56" i="6"/>
  <c r="B56" i="6"/>
  <c r="E56" i="6"/>
  <c r="B55" i="6"/>
  <c r="E55" i="6"/>
  <c r="C55" i="6"/>
  <c r="B54" i="6"/>
  <c r="E54" i="6"/>
  <c r="C54" i="6"/>
  <c r="B53" i="6"/>
  <c r="C53" i="6"/>
  <c r="E53" i="6"/>
  <c r="E52" i="6"/>
  <c r="C52" i="6"/>
  <c r="B52" i="6"/>
  <c r="E51" i="6"/>
  <c r="G51" i="6" s="1"/>
  <c r="C51" i="6"/>
  <c r="B51" i="6"/>
  <c r="F51" i="6"/>
  <c r="H51" i="6" s="1"/>
  <c r="E50" i="6"/>
  <c r="G50" i="6" s="1"/>
  <c r="F50" i="6"/>
  <c r="H50" i="6" s="1"/>
  <c r="B50" i="6"/>
  <c r="C50" i="6"/>
  <c r="E46" i="6"/>
  <c r="C46" i="6"/>
  <c r="B46" i="6"/>
  <c r="E45" i="6"/>
  <c r="C45" i="6"/>
  <c r="B45" i="6"/>
  <c r="E44" i="6"/>
  <c r="G44" i="6" s="1"/>
  <c r="C44" i="6"/>
  <c r="B44" i="6"/>
  <c r="F44" i="6"/>
  <c r="H44" i="6" s="1"/>
  <c r="E43" i="6"/>
  <c r="G43" i="6" s="1"/>
  <c r="B43" i="6"/>
  <c r="C43" i="6"/>
  <c r="F43" i="6"/>
  <c r="H43" i="6" s="1"/>
  <c r="B42" i="6"/>
  <c r="C42" i="6"/>
  <c r="E42" i="6"/>
  <c r="G42" i="6" s="1"/>
  <c r="F42" i="6"/>
  <c r="H42" i="6" s="1"/>
  <c r="B41" i="6"/>
  <c r="C41" i="6"/>
  <c r="E41" i="6"/>
  <c r="G41" i="6" s="1"/>
  <c r="F41" i="6"/>
  <c r="H41" i="6" s="1"/>
  <c r="E40" i="6"/>
  <c r="C40" i="6"/>
  <c r="B40" i="6"/>
  <c r="E39" i="6"/>
  <c r="G39" i="6" s="1"/>
  <c r="C39" i="6"/>
  <c r="F39" i="6"/>
  <c r="H39" i="6" s="1"/>
  <c r="B39" i="6"/>
  <c r="C38" i="6"/>
  <c r="B38" i="6"/>
  <c r="E38" i="6"/>
  <c r="E37" i="6"/>
  <c r="G37" i="6" s="1"/>
  <c r="F37" i="6"/>
  <c r="H37" i="6" s="1"/>
  <c r="C37" i="6"/>
  <c r="B37" i="6"/>
  <c r="E36" i="6"/>
  <c r="C36" i="6"/>
  <c r="B36" i="6"/>
  <c r="G35" i="6"/>
  <c r="F35" i="6"/>
  <c r="H35" i="6" s="1"/>
  <c r="I35" i="6"/>
  <c r="D35" i="6"/>
  <c r="C31" i="6"/>
  <c r="B31" i="6"/>
  <c r="E31" i="6"/>
  <c r="G31" i="6" s="1"/>
  <c r="F31" i="6"/>
  <c r="H31" i="6" s="1"/>
  <c r="B30" i="6"/>
  <c r="C30" i="6"/>
  <c r="E30" i="6"/>
  <c r="G30" i="6" s="1"/>
  <c r="F30" i="6"/>
  <c r="H30" i="6" s="1"/>
  <c r="B29" i="6"/>
  <c r="C29" i="6"/>
  <c r="E29" i="6"/>
  <c r="G29" i="6" s="1"/>
  <c r="F29" i="6"/>
  <c r="H29" i="6" s="1"/>
  <c r="E28" i="6"/>
  <c r="G28" i="6" s="1"/>
  <c r="F28" i="6"/>
  <c r="H28" i="6" s="1"/>
  <c r="C28" i="6"/>
  <c r="B28" i="6"/>
  <c r="B27" i="6"/>
  <c r="E27" i="6"/>
  <c r="C27" i="6"/>
  <c r="E26" i="6"/>
  <c r="C26" i="6"/>
  <c r="B26" i="6"/>
  <c r="E25" i="6"/>
  <c r="B25" i="6"/>
  <c r="C25" i="6"/>
  <c r="E24" i="6"/>
  <c r="B24" i="6"/>
  <c r="C24" i="6"/>
  <c r="B23" i="6"/>
  <c r="C23" i="6"/>
  <c r="E23" i="6"/>
  <c r="B22" i="6"/>
  <c r="C22" i="6"/>
  <c r="E22" i="6"/>
  <c r="B21" i="6"/>
  <c r="C21" i="6"/>
  <c r="E21" i="6"/>
  <c r="C20" i="6"/>
  <c r="B20" i="6"/>
  <c r="E20" i="6"/>
  <c r="A42" i="7"/>
  <c r="E16" i="6"/>
  <c r="G16" i="6" s="1"/>
  <c r="F16" i="6"/>
  <c r="H16" i="6" s="1"/>
  <c r="B42" i="7" s="1"/>
  <c r="B16" i="6"/>
  <c r="C16" i="6"/>
  <c r="B15" i="6"/>
  <c r="A41" i="7"/>
  <c r="E15" i="6"/>
  <c r="C15" i="6"/>
  <c r="A40" i="7"/>
  <c r="B14" i="6"/>
  <c r="E14" i="6"/>
  <c r="C14" i="6"/>
  <c r="A39" i="7"/>
  <c r="B13" i="6"/>
  <c r="C13" i="6"/>
  <c r="E13" i="6"/>
  <c r="A38" i="7"/>
  <c r="E12" i="6"/>
  <c r="C12" i="6"/>
  <c r="B12" i="6"/>
  <c r="A37" i="7"/>
  <c r="C11" i="6"/>
  <c r="B11" i="6"/>
  <c r="E11" i="6"/>
  <c r="A36" i="7"/>
  <c r="B10" i="6"/>
  <c r="C10" i="6"/>
  <c r="E10" i="6"/>
  <c r="G10" i="6" s="1"/>
  <c r="F10" i="6"/>
  <c r="H10" i="6" s="1"/>
  <c r="B36" i="7" s="1"/>
  <c r="A35" i="7"/>
  <c r="C9" i="6"/>
  <c r="B9" i="6"/>
  <c r="E9" i="6"/>
  <c r="G9" i="6" s="1"/>
  <c r="F9" i="6"/>
  <c r="H9" i="6" s="1"/>
  <c r="B35" i="7" s="1"/>
  <c r="A34" i="7"/>
  <c r="F8" i="6"/>
  <c r="H8" i="6" s="1"/>
  <c r="B34" i="7" s="1"/>
  <c r="C8" i="6"/>
  <c r="B8" i="6"/>
  <c r="E8" i="6"/>
  <c r="G8" i="6" s="1"/>
  <c r="C7" i="6"/>
  <c r="A33" i="7"/>
  <c r="E7" i="6"/>
  <c r="B7" i="6"/>
  <c r="A32" i="7"/>
  <c r="B6" i="6"/>
  <c r="E6" i="6"/>
  <c r="C6" i="6"/>
  <c r="B5" i="6"/>
  <c r="A31" i="7"/>
  <c r="E5" i="6"/>
  <c r="C5" i="6"/>
  <c r="F22" i="5"/>
  <c r="G9" i="7"/>
  <c r="G8" i="7"/>
  <c r="E22" i="5"/>
  <c r="D22" i="5"/>
  <c r="G7" i="7"/>
  <c r="G6" i="7"/>
  <c r="C22" i="5"/>
  <c r="B22" i="5"/>
  <c r="G5" i="7"/>
  <c r="F20" i="4"/>
  <c r="F13" i="4"/>
  <c r="E20" i="4"/>
  <c r="E13" i="4"/>
  <c r="D20" i="4"/>
  <c r="D13" i="4"/>
  <c r="C20" i="4"/>
  <c r="C13" i="4"/>
  <c r="B20" i="4"/>
  <c r="B13" i="4"/>
  <c r="H8" i="3"/>
  <c r="F6" i="4"/>
  <c r="F16" i="4" s="1"/>
  <c r="H7" i="3"/>
  <c r="E6" i="4"/>
  <c r="E16" i="4" s="1"/>
  <c r="H6" i="3"/>
  <c r="D6" i="4"/>
  <c r="D16" i="4" s="1"/>
  <c r="C7" i="4"/>
  <c r="C6" i="5"/>
  <c r="C15" i="5" s="1"/>
  <c r="H4" i="3"/>
  <c r="B6" i="4"/>
  <c r="B16" i="4" s="1"/>
  <c r="D76" i="6" l="1"/>
  <c r="I76" i="6"/>
  <c r="D75" i="6"/>
  <c r="I75" i="6"/>
  <c r="I74" i="6"/>
  <c r="D74" i="6"/>
  <c r="D73" i="6"/>
  <c r="I73" i="6"/>
  <c r="I72" i="6"/>
  <c r="D72" i="6"/>
  <c r="I71" i="6"/>
  <c r="D71" i="6"/>
  <c r="D70" i="6"/>
  <c r="I70" i="6"/>
  <c r="D69" i="6"/>
  <c r="I69" i="6"/>
  <c r="D68" i="6"/>
  <c r="I68" i="6"/>
  <c r="D67" i="6"/>
  <c r="I67" i="6"/>
  <c r="D66" i="6"/>
  <c r="I66" i="6"/>
  <c r="D65" i="6"/>
  <c r="I65" i="6"/>
  <c r="D61" i="6"/>
  <c r="D60" i="6"/>
  <c r="D59" i="6"/>
  <c r="I59" i="6"/>
  <c r="D58" i="6"/>
  <c r="D57" i="6"/>
  <c r="I57" i="6"/>
  <c r="D56" i="6"/>
  <c r="D55" i="6"/>
  <c r="D54" i="6"/>
  <c r="D53" i="6"/>
  <c r="G52" i="6"/>
  <c r="F52" i="6"/>
  <c r="H52" i="6" s="1"/>
  <c r="D52" i="6"/>
  <c r="I52" i="6"/>
  <c r="D51" i="6"/>
  <c r="I51" i="6"/>
  <c r="D50" i="6"/>
  <c r="I50" i="6"/>
  <c r="D46" i="6"/>
  <c r="D45" i="6"/>
  <c r="I44" i="6"/>
  <c r="D44" i="6"/>
  <c r="D43" i="6"/>
  <c r="I43" i="6"/>
  <c r="D42" i="6"/>
  <c r="I42" i="6"/>
  <c r="D41" i="6"/>
  <c r="I41" i="6"/>
  <c r="D40" i="6"/>
  <c r="D39" i="6"/>
  <c r="I39" i="6"/>
  <c r="D38" i="6"/>
  <c r="D37" i="6"/>
  <c r="I37" i="6"/>
  <c r="D36" i="6"/>
  <c r="I36" i="6"/>
  <c r="D31" i="6"/>
  <c r="I31" i="6"/>
  <c r="D30" i="6"/>
  <c r="I30" i="6"/>
  <c r="D29" i="6"/>
  <c r="I29" i="6"/>
  <c r="D28" i="6"/>
  <c r="I28" i="6"/>
  <c r="D27" i="6"/>
  <c r="D26" i="6"/>
  <c r="D25" i="6"/>
  <c r="D24" i="6"/>
  <c r="D23" i="6"/>
  <c r="D22" i="6"/>
  <c r="D21" i="6"/>
  <c r="D20" i="6"/>
  <c r="D16" i="6"/>
  <c r="I16" i="6"/>
  <c r="D15" i="6"/>
  <c r="I15" i="6"/>
  <c r="D14" i="6"/>
  <c r="D13" i="6"/>
  <c r="D12" i="6"/>
  <c r="D11" i="6"/>
  <c r="D10" i="6"/>
  <c r="I10" i="6"/>
  <c r="D9" i="6"/>
  <c r="I9" i="6"/>
  <c r="D8" i="6"/>
  <c r="I8" i="6"/>
  <c r="D7" i="6"/>
  <c r="D6" i="6"/>
  <c r="D5" i="6"/>
  <c r="F21" i="4"/>
  <c r="F22" i="4"/>
  <c r="F23" i="4"/>
  <c r="C9" i="7"/>
  <c r="C27" i="7"/>
  <c r="F14" i="4"/>
  <c r="F15" i="4"/>
  <c r="B9" i="7"/>
  <c r="B27" i="7"/>
  <c r="E21" i="4"/>
  <c r="E22" i="4"/>
  <c r="E23" i="4"/>
  <c r="C8" i="7"/>
  <c r="C26" i="7"/>
  <c r="E14" i="4"/>
  <c r="E15" i="4"/>
  <c r="B8" i="7"/>
  <c r="B26" i="7"/>
  <c r="D21" i="4"/>
  <c r="D22" i="4"/>
  <c r="D23" i="4"/>
  <c r="C7" i="7"/>
  <c r="C25" i="7"/>
  <c r="D14" i="4"/>
  <c r="D15" i="4"/>
  <c r="B7" i="7"/>
  <c r="B25" i="7"/>
  <c r="C21" i="4"/>
  <c r="C22" i="4"/>
  <c r="C23" i="4"/>
  <c r="C6" i="7"/>
  <c r="C24" i="7"/>
  <c r="C16" i="4"/>
  <c r="C14" i="4"/>
  <c r="C15" i="4"/>
  <c r="B6" i="7"/>
  <c r="B24" i="7"/>
  <c r="B21" i="4"/>
  <c r="B22" i="4"/>
  <c r="B23" i="4"/>
  <c r="C5" i="7"/>
  <c r="C23" i="7"/>
  <c r="B14" i="4"/>
  <c r="B15" i="4"/>
  <c r="B5" i="7"/>
  <c r="B23" i="7"/>
  <c r="F7" i="4"/>
  <c r="F6" i="5"/>
  <c r="F15" i="5" s="1"/>
  <c r="E7" i="4"/>
  <c r="E6" i="5"/>
  <c r="E15" i="5" s="1"/>
  <c r="D7" i="4"/>
  <c r="D6" i="5"/>
  <c r="D15" i="5" s="1"/>
  <c r="C28" i="4"/>
  <c r="C31" i="4"/>
  <c r="C16" i="5"/>
  <c r="F6" i="7"/>
  <c r="F24" i="7"/>
  <c r="B7" i="4"/>
  <c r="B6" i="5"/>
  <c r="B15" i="5" s="1"/>
  <c r="G75" i="6"/>
  <c r="F75" i="6"/>
  <c r="H75" i="6" s="1"/>
  <c r="G74" i="6"/>
  <c r="F74" i="6"/>
  <c r="H74" i="6" s="1"/>
  <c r="G73" i="6"/>
  <c r="F73" i="6"/>
  <c r="H73" i="6" s="1"/>
  <c r="G72" i="6"/>
  <c r="F72" i="6"/>
  <c r="H72" i="6" s="1"/>
  <c r="G71" i="6"/>
  <c r="F71" i="6"/>
  <c r="H71" i="6" s="1"/>
  <c r="G70" i="6"/>
  <c r="F70" i="6"/>
  <c r="H70" i="6" s="1"/>
  <c r="G69" i="6"/>
  <c r="F69" i="6"/>
  <c r="H69" i="6" s="1"/>
  <c r="G68" i="6"/>
  <c r="F68" i="6"/>
  <c r="H68" i="6" s="1"/>
  <c r="G66" i="6"/>
  <c r="F66" i="6"/>
  <c r="H66" i="6" s="1"/>
  <c r="G65" i="6"/>
  <c r="F65" i="6"/>
  <c r="H65" i="6" s="1"/>
  <c r="G61" i="6"/>
  <c r="F61" i="6"/>
  <c r="H61" i="6" s="1"/>
  <c r="I61" i="6" s="1"/>
  <c r="G60" i="6"/>
  <c r="F60" i="6"/>
  <c r="H60" i="6" s="1"/>
  <c r="I60" i="6" s="1"/>
  <c r="G58" i="6"/>
  <c r="F58" i="6"/>
  <c r="H58" i="6" s="1"/>
  <c r="I58" i="6" s="1"/>
  <c r="G56" i="6"/>
  <c r="F56" i="6"/>
  <c r="H56" i="6" s="1"/>
  <c r="I56" i="6" s="1"/>
  <c r="G55" i="6"/>
  <c r="F55" i="6"/>
  <c r="H55" i="6" s="1"/>
  <c r="I55" i="6" s="1"/>
  <c r="G54" i="6"/>
  <c r="F54" i="6"/>
  <c r="H54" i="6" s="1"/>
  <c r="I54" i="6" s="1"/>
  <c r="G53" i="6"/>
  <c r="F53" i="6"/>
  <c r="H53" i="6" s="1"/>
  <c r="I53" i="6" s="1"/>
  <c r="G46" i="6"/>
  <c r="F46" i="6"/>
  <c r="H46" i="6" s="1"/>
  <c r="I46" i="6" s="1"/>
  <c r="G45" i="6"/>
  <c r="F45" i="6"/>
  <c r="H45" i="6" s="1"/>
  <c r="I45" i="6" s="1"/>
  <c r="G40" i="6"/>
  <c r="F40" i="6"/>
  <c r="H40" i="6" s="1"/>
  <c r="I40" i="6" s="1"/>
  <c r="G38" i="6"/>
  <c r="F38" i="6"/>
  <c r="H38" i="6" s="1"/>
  <c r="I38" i="6" s="1"/>
  <c r="G36" i="6"/>
  <c r="F36" i="6"/>
  <c r="H36" i="6" s="1"/>
  <c r="G27" i="6"/>
  <c r="F27" i="6"/>
  <c r="H27" i="6" s="1"/>
  <c r="I27" i="6" s="1"/>
  <c r="G26" i="6"/>
  <c r="F26" i="6"/>
  <c r="H26" i="6" s="1"/>
  <c r="I26" i="6" s="1"/>
  <c r="G25" i="6"/>
  <c r="F25" i="6"/>
  <c r="H25" i="6" s="1"/>
  <c r="I25" i="6" s="1"/>
  <c r="G24" i="6"/>
  <c r="F24" i="6"/>
  <c r="H24" i="6" s="1"/>
  <c r="I24" i="6" s="1"/>
  <c r="G23" i="6"/>
  <c r="F23" i="6"/>
  <c r="H23" i="6" s="1"/>
  <c r="I23" i="6" s="1"/>
  <c r="G22" i="6"/>
  <c r="F22" i="6"/>
  <c r="H22" i="6" s="1"/>
  <c r="I22" i="6" s="1"/>
  <c r="G21" i="6"/>
  <c r="F21" i="6"/>
  <c r="H21" i="6" s="1"/>
  <c r="I21" i="6" s="1"/>
  <c r="G20" i="6"/>
  <c r="F20" i="6"/>
  <c r="H20" i="6" s="1"/>
  <c r="I20" i="6" s="1"/>
  <c r="G15" i="6"/>
  <c r="F15" i="6"/>
  <c r="H15" i="6" s="1"/>
  <c r="B41" i="7" s="1"/>
  <c r="G14" i="6"/>
  <c r="F14" i="6"/>
  <c r="H14" i="6" s="1"/>
  <c r="G13" i="6"/>
  <c r="F13" i="6"/>
  <c r="H13" i="6" s="1"/>
  <c r="G12" i="6"/>
  <c r="F12" i="6"/>
  <c r="H12" i="6" s="1"/>
  <c r="G11" i="6"/>
  <c r="F11" i="6"/>
  <c r="H11" i="6" s="1"/>
  <c r="G7" i="6"/>
  <c r="F7" i="6"/>
  <c r="H7" i="6" s="1"/>
  <c r="G6" i="6"/>
  <c r="F6" i="6"/>
  <c r="H6" i="6" s="1"/>
  <c r="G5" i="6"/>
  <c r="F5" i="6"/>
  <c r="H5" i="6" s="1"/>
  <c r="C29" i="5"/>
  <c r="C24" i="5"/>
  <c r="F28" i="4" l="1"/>
  <c r="F31" i="4"/>
  <c r="F29" i="5"/>
  <c r="F24" i="5"/>
  <c r="F16" i="5"/>
  <c r="F9" i="7"/>
  <c r="F27" i="7"/>
  <c r="E28" i="4"/>
  <c r="E31" i="4"/>
  <c r="E24" i="5"/>
  <c r="E29" i="5"/>
  <c r="E16" i="5"/>
  <c r="F8" i="7"/>
  <c r="F26" i="7"/>
  <c r="D28" i="4"/>
  <c r="D31" i="4"/>
  <c r="D29" i="5"/>
  <c r="D24" i="5"/>
  <c r="D16" i="5"/>
  <c r="F7" i="7"/>
  <c r="F25" i="7"/>
  <c r="C29" i="4"/>
  <c r="C30" i="4"/>
  <c r="D6" i="7"/>
  <c r="D24" i="7"/>
  <c r="B28" i="4"/>
  <c r="B31" i="4"/>
  <c r="B24" i="5"/>
  <c r="B29" i="5"/>
  <c r="B16" i="5"/>
  <c r="F5" i="7"/>
  <c r="F23" i="7"/>
  <c r="E24" i="7"/>
  <c r="E6" i="7"/>
  <c r="C28" i="5"/>
  <c r="C27" i="5"/>
  <c r="C26" i="5"/>
  <c r="C25" i="5"/>
  <c r="B40" i="7"/>
  <c r="I14" i="6"/>
  <c r="B39" i="7"/>
  <c r="I13" i="6"/>
  <c r="B38" i="7"/>
  <c r="I12" i="6"/>
  <c r="B37" i="7"/>
  <c r="I11" i="6"/>
  <c r="B33" i="7"/>
  <c r="I7" i="6"/>
  <c r="B32" i="7"/>
  <c r="I6" i="6"/>
  <c r="B31" i="7"/>
  <c r="I5" i="6"/>
  <c r="F29" i="4" l="1"/>
  <c r="F30" i="4"/>
  <c r="D9" i="7"/>
  <c r="D27" i="7"/>
  <c r="E27" i="7"/>
  <c r="E9" i="7"/>
  <c r="F28" i="5"/>
  <c r="F27" i="5"/>
  <c r="F26" i="5"/>
  <c r="F25" i="5"/>
  <c r="E29" i="4"/>
  <c r="E30" i="4"/>
  <c r="D8" i="7"/>
  <c r="D26" i="7"/>
  <c r="E26" i="7"/>
  <c r="E8" i="7"/>
  <c r="E28" i="5"/>
  <c r="E27" i="5"/>
  <c r="E26" i="5"/>
  <c r="E25" i="5"/>
  <c r="D29" i="4"/>
  <c r="D30" i="4"/>
  <c r="D7" i="7"/>
  <c r="D25" i="7"/>
  <c r="E25" i="7"/>
  <c r="E7" i="7"/>
  <c r="D28" i="5"/>
  <c r="D27" i="5"/>
  <c r="D26" i="5"/>
  <c r="D25" i="5"/>
  <c r="B29" i="4"/>
  <c r="B30" i="4"/>
  <c r="D5" i="7"/>
  <c r="D23" i="7"/>
  <c r="E23" i="7"/>
  <c r="E5" i="7"/>
  <c r="B28" i="5"/>
  <c r="B27" i="5"/>
  <c r="B26" i="5"/>
  <c r="B25" i="5"/>
</calcChain>
</file>

<file path=xl/sharedStrings.xml><?xml version="1.0" encoding="utf-8"?>
<sst xmlns="http://schemas.openxmlformats.org/spreadsheetml/2006/main" count="264" uniqueCount="225">
  <si>
    <t>📊  camsroy.com</t>
  </si>
  <si>
    <t>Smart Finance Templates  |  Built for Indian SMEs, Startups &amp; Founders</t>
  </si>
  <si>
    <t>PRODUCT PRICING CALCULATOR</t>
  </si>
  <si>
    <t>Cost-Plus · Value-Based · Price Sensitivity — What Should You Charge?</t>
  </si>
  <si>
    <t>Three reverse-solver models: enter your target → get the price that achieves it</t>
  </si>
  <si>
    <t>Company Name</t>
  </si>
  <si>
    <t>[Enter Company Name]</t>
  </si>
  <si>
    <t>Financial Year</t>
  </si>
  <si>
    <t>FY 2025-26</t>
  </si>
  <si>
    <t>Reporting Currency</t>
  </si>
  <si>
    <t>INR (₹)</t>
  </si>
  <si>
    <t>Prepared By</t>
  </si>
  <si>
    <t>[Your Name]</t>
  </si>
  <si>
    <t>Report Date</t>
  </si>
  <si>
    <t>[As-on Date]</t>
  </si>
  <si>
    <t>📋  WORKBOOK NAVIGATION</t>
  </si>
  <si>
    <t>⚙</t>
  </si>
  <si>
    <t xml:space="preserve">  SETUP  —  Tax rate, GST slabs, target margins, market assumptions</t>
  </si>
  <si>
    <t>📦</t>
  </si>
  <si>
    <t xml:space="preserve">  PRODUCT INPUTS  —  Variable cost, fixed cost &amp; volume — up to 5 products</t>
  </si>
  <si>
    <t>💰</t>
  </si>
  <si>
    <t xml:space="preserve">  COST-PLUS PRICING  —  3 reverse solvers: target CM%, markup%, or after-tax profit per unit</t>
  </si>
  <si>
    <t>🎯</t>
  </si>
  <si>
    <t xml:space="preserve">  VALUE-BASED PRICING  —  Competitor-anchored price band: floor, target, ceiling, optimal</t>
  </si>
  <si>
    <t>📊</t>
  </si>
  <si>
    <t xml:space="preserve">  PRICE SENSITIVITY  —  Price ladder — profit, CM, BEP at every price point</t>
  </si>
  <si>
    <t>📈</t>
  </si>
  <si>
    <t xml:space="preserve">  DASHBOARD  —  Pricing decision summary, optimal zone, key outputs</t>
  </si>
  <si>
    <t>📖</t>
  </si>
  <si>
    <t xml:space="preserve">  HOW TO USE  —  Step-by-step guide &amp; formula notes</t>
  </si>
  <si>
    <t>🎨  COLOUR LEGEND</t>
  </si>
  <si>
    <t>Blue cells = Input (enter your data here)</t>
  </si>
  <si>
    <t>Green = Formula / calculated output (do not edit)</t>
  </si>
  <si>
    <t>Green fill with green bold text = Healthy / above target profit</t>
  </si>
  <si>
    <t>Yellow = Near break-even — caution</t>
  </si>
  <si>
    <t>Red = Below break-even / loss-making</t>
  </si>
  <si>
    <t>💡  WHAT MAKES THIS TEMPLATE DIFFERENT</t>
  </si>
  <si>
    <t>✓</t>
  </si>
  <si>
    <t>Three distinct pricing modes — not just one formula but three different lenses on the same question</t>
  </si>
  <si>
    <t>Reverse-solver logic: enter your TARGET (CM%, markup, or after-tax profit) → get the price that delivers it</t>
  </si>
  <si>
    <t>Price sensitivity ladder: see profit, contribution margin, and break-even units at every price point simultaneously</t>
  </si>
  <si>
    <t>Value-based pricing: competitor-anchored floor/target/ceiling band, not just cost-driven</t>
  </si>
  <si>
    <t>GST-aware: all prices shown ex-GST and incl-GST automatically</t>
  </si>
  <si>
    <t>Companion to the Break-Even Analysis template — shares the same product input style, same palette</t>
  </si>
  <si>
    <t>© camsroy.com  |  Free for personal &amp; commercial use  |  www.camsroy.com</t>
  </si>
  <si>
    <t>📊  camsroy.com  |  PRICING SETUP  —  Assumptions &amp; Market Context</t>
  </si>
  <si>
    <t>Configure once. Every pricing sheet references these assumptions automatically.</t>
  </si>
  <si>
    <t>📐  A. GENERAL ASSUMPTIONS</t>
  </si>
  <si>
    <t>Parameter</t>
  </si>
  <si>
    <t>Value</t>
  </si>
  <si>
    <t>Notes</t>
  </si>
  <si>
    <t>Corporate Tax Rate (for after-tax pricing)</t>
  </si>
  <si>
    <t>25.17% incl. surcharge+cess (Sec 115BAA)</t>
  </si>
  <si>
    <t>Working Days per Month</t>
  </si>
  <si>
    <t>For break-even time reference</t>
  </si>
  <si>
    <t>Non-Cash Depreciation in Fixed Cost (₹/month)</t>
  </si>
  <si>
    <t>Allocated fixed cost portion that is non-cash</t>
  </si>
  <si>
    <t>🎯  B. PRICING TARGET ASSUMPTIONS</t>
  </si>
  <si>
    <t>Target Contribution Margin % (CM%)</t>
  </si>
  <si>
    <t>Price will be solved to deliver this CM Ratio</t>
  </si>
  <si>
    <t>Target Gross Markup % (on Variable Cost)</t>
  </si>
  <si>
    <t>Price = Variable Cost × (1 + Markup%)</t>
  </si>
  <si>
    <t>Target After-Tax Profit per Unit (₹)</t>
  </si>
  <si>
    <t>Grossed up for tax → sets minimum price</t>
  </si>
  <si>
    <t>Desired Monthly Profit After-Tax (₹, company)</t>
  </si>
  <si>
    <t>Used in break-even day cross-check</t>
  </si>
  <si>
    <t>🌐  C. MARKET &amp; COMPETITION CONTEXT</t>
  </si>
  <si>
    <t>Competitor / Market Reference Price (₹, ex-GST)</t>
  </si>
  <si>
    <t>Anchor for value-based pricing ceiling</t>
  </si>
  <si>
    <t>Willingness-to-Pay Premium over Competitor (%)</t>
  </si>
  <si>
    <t>How much more your customer might pay vs. competitor</t>
  </si>
  <si>
    <t>Channel / Trade Discount (%)</t>
  </si>
  <si>
    <t>Distributor/reseller margin baked into your ex-factory price</t>
  </si>
  <si>
    <t>Price Elasticity — Volume Loss per 1% Price Rise (enter as %, e.g. 1.5%)</t>
  </si>
  <si>
    <t>E.g. 0.015 = 1.5% volume drop for each 1% price rise. Enter 0 to assume fixed volume.</t>
  </si>
  <si>
    <t>🧾  D. GST RATES (Common Slabs)</t>
  </si>
  <si>
    <t>GST Slab</t>
  </si>
  <si>
    <t>Rate</t>
  </si>
  <si>
    <t>Typical Use</t>
  </si>
  <si>
    <t>Nil / Exempt</t>
  </si>
  <si>
    <t>Essentials, exports</t>
  </si>
  <si>
    <t>GST 5%</t>
  </si>
  <si>
    <t>Essential goods</t>
  </si>
  <si>
    <t>GST 12%</t>
  </si>
  <si>
    <t>Processed goods, standard services</t>
  </si>
  <si>
    <t>GST 18%</t>
  </si>
  <si>
    <t>Most goods &amp; services — standard rate</t>
  </si>
  <si>
    <t>GST 28%</t>
  </si>
  <si>
    <t>Luxury / sin goods</t>
  </si>
  <si>
    <t>ℹ  All values editable. Target CM% and Markup% drive the Cost-Plus Pricing sheet. Competitor Price and WTP Premium drive the Value-Based Pricing sheet. Price Elasticity drives the demand-adjusted Price Sensitivity sheet.  |  © camsroy.com</t>
  </si>
  <si>
    <t>📦  camsroy.com  |  PRODUCT INPUTS  —  Variable Cost, Fixed Cost &amp; Volume</t>
  </si>
  <si>
    <t>Enter up to 5 products. All pricing sheets are fully derived from these inputs. Blue cells = Input.</t>
  </si>
  <si>
    <t>#</t>
  </si>
  <si>
    <t>Product Name</t>
  </si>
  <si>
    <t>Variable Cost
(₹/unit)</t>
  </si>
  <si>
    <t>Allocated Fixed
Cost (₹/month)</t>
  </si>
  <si>
    <t>Expected Monthly
Volume (Units)</t>
  </si>
  <si>
    <t>GST %</t>
  </si>
  <si>
    <t>Fixed Cost
per Unit (₹)</t>
  </si>
  <si>
    <t>Total Unit Cost
(VC + FC/unit)</t>
  </si>
  <si>
    <t>Widget Pro</t>
  </si>
  <si>
    <t>Starter Pack</t>
  </si>
  <si>
    <t>Premium Bundle</t>
  </si>
  <si>
    <t>Service Plan</t>
  </si>
  <si>
    <t>Bulk Unit</t>
  </si>
  <si>
    <t>TOTAL / BLENDED</t>
  </si>
  <si>
    <t>ℹ  Blue cells = Input. 'Allocated Fixed Cost' is your best estimate of monthly overhead attributable to each product (rent, salaries, etc.). FC/unit and Total Unit Cost are calculated and update automatically when you change volume.  |  © camsroy.com</t>
  </si>
  <si>
    <t>💰  camsroy.com  |  COST-PLUS PRICING  —  Three Reverse Solvers: Target → Price</t>
  </si>
  <si>
    <t>Enter a target (CM%, Markup, or PAT per unit) in SETUP → this sheet shows the price that achieves it for each product.</t>
  </si>
  <si>
    <t>🏷  PRODUCT REFERENCE DATA</t>
  </si>
  <si>
    <t>Variable Cost (₹/unit)</t>
  </si>
  <si>
    <t>Allocated Fixed Cost / Unit (₹)</t>
  </si>
  <si>
    <t>Total Unit Cost = VC + FC/unit</t>
  </si>
  <si>
    <t>GST Rate</t>
  </si>
  <si>
    <t>📐  MODE 1 — PRICE FROM TARGET CM% RATIO</t>
  </si>
  <si>
    <t>Target CM% (from Setup):</t>
  </si>
  <si>
    <t>Formula: Price = VC ÷ (1 − Target CM%)</t>
  </si>
  <si>
    <t>←  Do NOT use VC alone; total cost (VC+FC) will be fully recovered only if volume = expected</t>
  </si>
  <si>
    <t>✅  Price (ex-GST) to achieve target CM%</t>
  </si>
  <si>
    <t xml:space="preserve">   Price incl. GST</t>
  </si>
  <si>
    <t xml:space="preserve">   Achieved CM% (verify = target)</t>
  </si>
  <si>
    <t xml:space="preserve">   BEP Units at this price</t>
  </si>
  <si>
    <t>📐  MODE 2 — PRICE FROM TARGET GROSS MARKUP %</t>
  </si>
  <si>
    <t>Target Markup % (from Setup):</t>
  </si>
  <si>
    <t>✅  Price (ex-GST) = VC × (1 + Markup%)</t>
  </si>
  <si>
    <t xml:space="preserve">   Implied CM% at this markup</t>
  </si>
  <si>
    <t xml:space="preserve">   Gross Profit per Unit after FC (₹)</t>
  </si>
  <si>
    <t>📐  MODE 3 — PRICE FROM TARGET AFTER-TAX PROFIT PER UNIT</t>
  </si>
  <si>
    <t>Target After-Tax Profit/unit (from Setup):</t>
  </si>
  <si>
    <t xml:space="preserve">   Grossed-up Pre-Tax Profit/unit required</t>
  </si>
  <si>
    <t>✅  Price (ex-GST) = Total Unit Cost + Pre-Tax Profit/unit</t>
  </si>
  <si>
    <t xml:space="preserve">   Implied CM% at this price</t>
  </si>
  <si>
    <t>ℹ  Mode 1 (CM%) gives price from the top-line profitability lens. Mode 2 (Markup%) gives price from the cost-mark-up lens — quick for traders. Mode 3 (PAT/unit) works backwards from your after-tax profit target. All three show the BEP at that price — compare across modes to find your viable zone.  |  © camsroy.com</t>
  </si>
  <si>
    <t>🎯  camsroy.com  |  VALUE-BASED PRICING  —  Competitor-Anchored Price Band</t>
  </si>
  <si>
    <t>Sets a Floor (cost cover), Target (your CM% goal), and Ceiling (competitor + WTP premium). Optimal = best defensible price within the band.</t>
  </si>
  <si>
    <t>🏷  PRODUCT REFERENCE</t>
  </si>
  <si>
    <t>Total Unit Cost (VC + FC/unit)</t>
  </si>
  <si>
    <t>🌐  MARKET CONTEXT (from Setup)</t>
  </si>
  <si>
    <t>📊  PRICE BAND — FLOOR / TARGET / CEILING / OPTIMAL</t>
  </si>
  <si>
    <t>🔴  FLOOR Price — Bare cost recovery (no profit)</t>
  </si>
  <si>
    <t xml:space="preserve">   Floor incl. GST</t>
  </si>
  <si>
    <t>🟡  TARGET Price — VC ÷ (1 − Target CM%)  [achieves CM% on variable cost; Floor already ensures full cost recovery]</t>
  </si>
  <si>
    <t xml:space="preserve">   Target incl. GST</t>
  </si>
  <si>
    <t>🟢  CEILING Price — Competitor × (1 + WTP Premium)</t>
  </si>
  <si>
    <t xml:space="preserve">   Ceiling incl. GST</t>
  </si>
  <si>
    <t>⭐  OPTIMAL Price = MAX(Floor, MIN(Target, Ceiling))</t>
  </si>
  <si>
    <t xml:space="preserve">   Optimal incl. GST</t>
  </si>
  <si>
    <t xml:space="preserve">   CM% at Optimal Price</t>
  </si>
  <si>
    <t xml:space="preserve">   Net Realization After Trade Discount</t>
  </si>
  <si>
    <t xml:space="preserve">   Required List Price (to net Optimal after trade discount)</t>
  </si>
  <si>
    <t>⚠  Pricing Feasibility</t>
  </si>
  <si>
    <t>ℹ  Floor = bare cost recovery (VC + FC/unit). Target = VC ÷ (1 − CM%) — value-based pricing anchors margin on variable cost. Optimal = UNVIABLE if Ceiling &lt; Floor (market won't support your cost base); otherwise MAX(Floor, MIN(Target, Ceiling)). Net Realization = what you actually keep after trade discount. Required List Price = what you must quote before discount to still net the Optimal amount.  |  © camsroy.com</t>
  </si>
  <si>
    <t>📊  camsroy.com  |  PRICE SENSITIVITY  —  Profit at Every Price Point</t>
  </si>
  <si>
    <t>For each product: 12 price points. Traffic-light: 🟢 above target profit · 🟡 profitable but below target · 🔴 loss-making. Volume adjusts for elasticity if entered in Setup.</t>
  </si>
  <si>
    <t>Price (ex-GST ₹)</t>
  </si>
  <si>
    <t>Price incl. GST</t>
  </si>
  <si>
    <t>CM/unit (₹)</t>
  </si>
  <si>
    <t>CM%</t>
  </si>
  <si>
    <t>Adj. Volume</t>
  </si>
  <si>
    <t>Revenue (₹)</t>
  </si>
  <si>
    <t>Total Cost (₹)</t>
  </si>
  <si>
    <t>Profit (₹)</t>
  </si>
  <si>
    <t>Signal</t>
  </si>
  <si>
    <t>📦  Widget Pro</t>
  </si>
  <si>
    <t>Volume adjusts per Setup elasticity (0 = fixed vol). Profit = Revenue − (VC×Vol + Fixed Cost). Highlighted row = ~1.4× VC midpoint.  © camsroy.com</t>
  </si>
  <si>
    <t>Volume adjusts per Setup elasticity (0 = fixed vol). Elasticity is relative to 1.4×VC — the midpoint of the price ladder — not to your actual selling price. Profit = Revenue − (VC×Vol + Fixed Cost). Highlighted row = 1.4×VC midpoint.  © camsroy.com</t>
  </si>
  <si>
    <t>📦  Starter Pack</t>
  </si>
  <si>
    <t>📦  Premium Bundle</t>
  </si>
  <si>
    <t>📦  Service Plan</t>
  </si>
  <si>
    <t>📦  Bulk Unit</t>
  </si>
  <si>
    <t>📈  camsroy.com  |  PRICING DASHBOARD  —  Decision Summary Across Three Modes</t>
  </si>
  <si>
    <t>All prices auto-populate from Product Inputs, Setup, and the three pricing sheets. Nothing here needs manual entry.</t>
  </si>
  <si>
    <t>📊  PRICING MODE COMPARISON (Latest Calculated Prices, ex-GST ₹)</t>
  </si>
  <si>
    <t>Product</t>
  </si>
  <si>
    <t>Mode 1:
Target CM%</t>
  </si>
  <si>
    <t>Mode 2:
Markup%</t>
  </si>
  <si>
    <t>Mode 3:
PAT/unit</t>
  </si>
  <si>
    <t>Value-Based
Optimal</t>
  </si>
  <si>
    <t>Lower Bound
(Floor)</t>
  </si>
  <si>
    <t>Upper Bound
(Ceiling)</t>
  </si>
  <si>
    <t>ℹ  Mode 1/2/3 = Cost-Plus reverse solvers. Value-Based Optimal = MAX(Floor, MIN(CM-target price, Ceiling)).  Floor = bare cost recovery. Ceiling = Competitor × (1 + WTP Premium).  Read across a row to see your viable price zone per product.</t>
  </si>
  <si>
    <t>🎯  KPI SNAPSHOT</t>
  </si>
  <si>
    <t>Target CM % (Setup)</t>
  </si>
  <si>
    <t>Target Markup % (Setup)</t>
  </si>
  <si>
    <t>Target After-Tax Profit / Unit (₹)</t>
  </si>
  <si>
    <t>Market Reference Price (₹)</t>
  </si>
  <si>
    <t>WTP Premium over Competitor</t>
  </si>
  <si>
    <t>Price Elasticity</t>
  </si>
  <si>
    <t>📈  PRICE COMPARISON CHART DATA</t>
  </si>
  <si>
    <t>Mode 1 CM%</t>
  </si>
  <si>
    <t>Mode 2 Markup</t>
  </si>
  <si>
    <t>Mode 3 PAT</t>
  </si>
  <si>
    <t>VB Optimal</t>
  </si>
  <si>
    <t>Floor</t>
  </si>
  <si>
    <t>📊  PROFIT SENSITIVITY CHART DATA  (Product 1 — Widget Pro — replace with any product's rows from the Price Sensitivity sheet)</t>
  </si>
  <si>
    <t>Price (ex-GST)</t>
  </si>
  <si>
    <t>📊  camsroy.com  |  HOW TO USE  —  Product Pricing Calculator</t>
  </si>
  <si>
    <t>STEP-BY-STEP GUIDE</t>
  </si>
  <si>
    <t xml:space="preserve">  Step 1 — SETUP Sheet</t>
  </si>
  <si>
    <t xml:space="preserve">    Enter your corporate tax rate, target CM%, target markup%, target after-tax profit per unit, and your market context (competitor price, WTP premium, channel discount, price elasticity). Every pricing sheet references these automatically.</t>
  </si>
  <si>
    <t xml:space="preserve">  Step 2 — PRODUCT INPUTS Sheet</t>
  </si>
  <si>
    <t xml:space="preserve">    Enter up to 5 products: Product Name, Variable Cost per unit, Allocated Fixed Cost per month, Expected Volume, and GST Rate. Fixed Cost per Unit and Total Unit Cost calculate automatically and flow to all three pricing sheets.</t>
  </si>
  <si>
    <t xml:space="preserve">  Step 3 — COST-PLUS PRICING Sheet (reverse-solver)</t>
  </si>
  <si>
    <t xml:space="preserve">    No manual input needed — this sheet reads your Setup targets and solves backwards. Mode 1: Price = VC ÷ (1 − Target CM%). Mode 2: Price = VC × (1 + Markup%). Mode 3: Price = Total Unit Cost + Pre-Tax Profit/unit (grossed up from your after-tax target). Compare the three modes across a product column — they rarely agree, and that gap tells you something important.</t>
  </si>
  <si>
    <t xml:space="preserve">  Step 4 — VALUE-BASED PRICING Sheet</t>
  </si>
  <si>
    <t xml:space="preserve">    Sets a price band per product: Floor (bare cost recovery, no profit), Target (your CM% goal), Ceiling (competitor × WTP premium), and Optimal = MAX(Floor, MIN(Target, Ceiling)). If Ceiling &lt; Floor for a product, you have a structural cost problem — the market won't bear a price that covers your costs.</t>
  </si>
  <si>
    <t xml:space="preserve">  Step 5 — PRICE SENSITIVITY Sheet</t>
  </si>
  <si>
    <t xml:space="preserve">    Shows a 12-point price ladder from 1.05× to 2.2× variable cost for each product. At every price point, you see CM/unit, elasticity-adjusted volume, total revenue, total cost, profit, and a traffic-light signal. The highlighted row (1.4× VC) is the midpoint reference. Set elasticity to 0 in Setup if you want fixed-volume analysis.</t>
  </si>
  <si>
    <t xml:space="preserve">  Step 6 — DASHBOARD</t>
  </si>
  <si>
    <t xml:space="preserve">    The pricing comparison table shows all five price outputs side-by-side for every product. The two charts show price comparison across modes and a profit-vs-price curve for the first product. No manual input required here.</t>
  </si>
  <si>
    <t>KEY FORMULAS EXPLAINED</t>
  </si>
  <si>
    <t xml:space="preserve">    • Price from Target CM%:         Price = VC ÷ (1 − Target CM%)</t>
  </si>
  <si>
    <t xml:space="preserve">    • Price from Target Markup:       Price = VC × (1 + Markup%)</t>
  </si>
  <si>
    <t xml:space="preserve">    • Price from Target After-Tax PAT: Gross-up tax → Pre-Tax Profit = PAT ÷ (1 − Tax Rate) → Price = VC + FC/unit + Pre-Tax Profit</t>
  </si>
  <si>
    <t xml:space="preserve">    • Value-Based Optimal:            MAX(Floor, MIN(Target, Ceiling))</t>
  </si>
  <si>
    <t xml:space="preserve">    • Elasticity-Adjusted Volume:     Vol × MAX(0, 1 − Elasticity × (Price/RefPrice − 1))</t>
  </si>
  <si>
    <t xml:space="preserve">    • Profit (at a price point):      Revenue − (VC × Volume + Fixed Cost)</t>
  </si>
  <si>
    <t>HOW THIS DIFFERS FROM THE BREAK-EVEN TEMPLATE</t>
  </si>
  <si>
    <t xml:space="preserve">    The Break-Even template answers: 'At my current prices, how many units until I cover costs?' This template answers the prior question: 'What should my price be?' The two templates are designed as companions — solve for the right price here, then use the Break-Even template to test whether that price generates enough volume to cover fixed costs.</t>
  </si>
  <si>
    <t>CUSTOMISATION TIPS</t>
  </si>
  <si>
    <t xml:space="preserve">    • Single product: fill in Row 1 of Product Inputs only. Dashboard and pricing sheets will show only that one product's results.</t>
  </si>
  <si>
    <t xml:space="preserve">    • Change targets mid-analysis: update Setup values — all pricing sheets recalculate instantly. No cell-by-cell editing needed.</t>
  </si>
  <si>
    <t xml:space="preserve">    • If Mode 3 (PAT/unit) price &lt; Floor, your target profit per unit is zero or negative after costs — lower the target or reduce costs.</t>
  </si>
  <si>
    <t xml:space="preserve">    • The elasticity input is intentionally simple (linear, not log). For highly price-sensitive markets, treat the Price Sensitivity sheet as a decision tool, not a precise demand forecast.</t>
  </si>
  <si>
    <t>© 2025 camsroy.com  |  Free for personal &amp; commercial use  |  www.camsroy.com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</si>
</sst>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3" x14ac:knownFonts="1">
    <font>
      <sz val="11"/>
      <color theme="1"/>
      <name val="Calibri"/>
      <family val="2"/>
      <charset val="1"/>
    </font>
    <font>
      <sz val="11"/>
      <color theme="1"/>
      <name val="Times New Roman"/>
      <family val="1"/>
    </font>
    <font>
      <b/>
      <sz val="22"/>
      <color rgb="FFFFFFFF"/>
      <name val="Times New Roman"/>
      <family val="1"/>
    </font>
    <font>
      <i/>
      <sz val="9"/>
      <color rgb="FFF3E5F5"/>
      <name val="Times New Roman"/>
      <family val="1"/>
    </font>
    <font>
      <b/>
      <sz val="20"/>
      <color rgb="FFFFFFFF"/>
      <name val="Times New Roman"/>
      <family val="1"/>
    </font>
    <font>
      <b/>
      <sz val="13"/>
      <color rgb="FFAED6F1"/>
      <name val="Times New Roman"/>
      <family val="1"/>
    </font>
    <font>
      <i/>
      <sz val="10"/>
      <color rgb="FFD7BDE2"/>
      <name val="Times New Roman"/>
      <family val="1"/>
    </font>
    <font>
      <sz val="10"/>
      <color rgb="FFAED6F1"/>
      <name val="Times New Roman"/>
      <family val="1"/>
    </font>
    <font>
      <b/>
      <sz val="10"/>
      <color rgb="FFFFFFFF"/>
      <name val="Times New Roman"/>
      <family val="1"/>
    </font>
    <font>
      <b/>
      <sz val="11"/>
      <color rgb="FFAED6F1"/>
      <name val="Times New Roman"/>
      <family val="1"/>
    </font>
    <font>
      <sz val="11"/>
      <color rgb="FFD4AC0D"/>
      <name val="Times New Roman"/>
      <family val="1"/>
    </font>
    <font>
      <sz val="9"/>
      <color rgb="FFBDC3C7"/>
      <name val="Times New Roman"/>
      <family val="1"/>
    </font>
    <font>
      <b/>
      <sz val="10"/>
      <color rgb="FFAED6F1"/>
      <name val="Times New Roman"/>
      <family val="1"/>
    </font>
    <font>
      <b/>
      <sz val="10"/>
      <color rgb="FFD4AC0D"/>
      <name val="Times New Roman"/>
      <family val="1"/>
    </font>
    <font>
      <b/>
      <sz val="9"/>
      <color rgb="FFD4AC0D"/>
      <name val="Times New Roman"/>
      <family val="1"/>
    </font>
    <font>
      <sz val="8"/>
      <color rgb="FF7F8C8D"/>
      <name val="Times New Roman"/>
      <family val="1"/>
    </font>
    <font>
      <b/>
      <sz val="12"/>
      <color rgb="FFFFFFFF"/>
      <name val="Times New Roman"/>
      <family val="1"/>
    </font>
    <font>
      <i/>
      <sz val="9"/>
      <color rgb="FF555555"/>
      <name val="Times New Roman"/>
      <family val="1"/>
    </font>
    <font>
      <b/>
      <sz val="9"/>
      <color rgb="FFFFFFFF"/>
      <name val="Times New Roman"/>
      <family val="1"/>
    </font>
    <font>
      <sz val="9"/>
      <color rgb="FF0D1B2A"/>
      <name val="Times New Roman"/>
      <family val="1"/>
    </font>
    <font>
      <b/>
      <sz val="9"/>
      <color rgb="FF0000FF"/>
      <name val="Times New Roman"/>
      <family val="1"/>
    </font>
    <font>
      <i/>
      <sz val="8"/>
      <color rgb="FF555555"/>
      <name val="Times New Roman"/>
      <family val="1"/>
    </font>
    <font>
      <sz val="9"/>
      <color rgb="FF0000FF"/>
      <name val="Times New Roman"/>
      <family val="1"/>
    </font>
    <font>
      <b/>
      <sz val="9"/>
      <color rgb="FF117A65"/>
      <name val="Times New Roman"/>
      <family val="1"/>
    </font>
    <font>
      <b/>
      <sz val="9"/>
      <color rgb="FF0D1B2A"/>
      <name val="Times New Roman"/>
      <family val="1"/>
    </font>
    <font>
      <i/>
      <sz val="8"/>
      <color rgb="FF1A5276"/>
      <name val="Times New Roman"/>
      <family val="1"/>
    </font>
    <font>
      <b/>
      <sz val="9"/>
      <color rgb="FF922B21"/>
      <name val="Times New Roman"/>
      <family val="1"/>
    </font>
    <font>
      <b/>
      <sz val="9"/>
      <color rgb="FF7D6608"/>
      <name val="Times New Roman"/>
      <family val="1"/>
    </font>
    <font>
      <sz val="11"/>
      <name val="Times New Roman"/>
      <family val="1"/>
    </font>
    <font>
      <sz val="9"/>
      <color rgb="FF922B21"/>
      <name val="Times New Roman"/>
      <family val="1"/>
    </font>
    <font>
      <sz val="9"/>
      <color rgb="FF117A65"/>
      <name val="Times New Roman"/>
      <family val="1"/>
    </font>
    <font>
      <b/>
      <sz val="10"/>
      <color rgb="FF0D1B2A"/>
      <name val="Times New Roman"/>
      <family val="1"/>
    </font>
    <font>
      <sz val="9"/>
      <color rgb="FF000000"/>
      <name val="Times New Roman"/>
      <family val="1"/>
    </font>
  </fonts>
  <fills count="14">
    <fill>
      <patternFill patternType="none"/>
    </fill>
    <fill>
      <patternFill patternType="gray125"/>
    </fill>
    <fill>
      <patternFill patternType="solid">
        <fgColor rgb="FF0D1B2A"/>
        <bgColor rgb="FF000000"/>
      </patternFill>
    </fill>
    <fill>
      <patternFill patternType="solid">
        <fgColor rgb="FF6C3483"/>
        <bgColor rgb="FF8E44AD"/>
      </patternFill>
    </fill>
    <fill>
      <patternFill patternType="solid">
        <fgColor rgb="FFD6EAF8"/>
        <bgColor rgb="FFD5F5E3"/>
      </patternFill>
    </fill>
    <fill>
      <patternFill patternType="solid">
        <fgColor rgb="FFD5F5E3"/>
        <bgColor rgb="FFD6EAF8"/>
      </patternFill>
    </fill>
    <fill>
      <patternFill patternType="solid">
        <fgColor rgb="FFFCF3CF"/>
        <bgColor rgb="FFFDEDEC"/>
      </patternFill>
    </fill>
    <fill>
      <patternFill patternType="solid">
        <fgColor rgb="FFFDEDEC"/>
        <bgColor rgb="FFF2F3F4"/>
      </patternFill>
    </fill>
    <fill>
      <patternFill patternType="solid">
        <fgColor rgb="FFF2F3F4"/>
        <bgColor rgb="FFFDEDEC"/>
      </patternFill>
    </fill>
    <fill>
      <patternFill patternType="solid">
        <fgColor rgb="FF1B4F72"/>
        <bgColor rgb="FF1A5276"/>
      </patternFill>
    </fill>
    <fill>
      <patternFill patternType="solid">
        <fgColor rgb="FFA04000"/>
        <bgColor rgb="FF922B21"/>
      </patternFill>
    </fill>
    <fill>
      <patternFill patternType="solid">
        <fgColor rgb="FF117A65"/>
        <bgColor rgb="FF008080"/>
      </patternFill>
    </fill>
    <fill>
      <patternFill patternType="solid">
        <fgColor rgb="FFD4AC0D"/>
        <bgColor rgb="FFFFCC00"/>
      </patternFill>
    </fill>
    <fill>
      <patternFill patternType="solid">
        <fgColor rgb="FFFADBD8"/>
        <bgColor rgb="FFF3E5F5"/>
      </patternFill>
    </fill>
  </fills>
  <borders count="4">
    <border>
      <left/>
      <right/>
      <top/>
      <bottom/>
      <diagonal/>
    </border>
    <border>
      <left/>
      <right/>
      <top/>
      <bottom style="thin">
        <color rgb="FF2E86C1"/>
      </bottom>
      <diagonal/>
    </border>
    <border>
      <left style="thin">
        <color rgb="FFBDBDBD"/>
      </left>
      <right style="thin">
        <color rgb="FFBDBDBD"/>
      </right>
      <top style="thin">
        <color rgb="FFBDBDBD"/>
      </top>
      <bottom style="thin">
        <color rgb="FFBDBDBD"/>
      </bottom>
      <diagonal/>
    </border>
    <border>
      <left/>
      <right/>
      <top/>
      <bottom style="medium">
        <color rgb="FF0D1B2A"/>
      </bottom>
      <diagonal/>
    </border>
  </borders>
  <cellStyleXfs count="1">
    <xf numFmtId="0" fontId="0" fillId="0" borderId="0"/>
  </cellStyleXfs>
  <cellXfs count="94">
    <xf numFmtId="0" fontId="0" fillId="0" borderId="0" xfId="0"/>
    <xf numFmtId="0" fontId="1" fillId="0" borderId="0" xfId="0" applyFont="1"/>
    <xf numFmtId="0" fontId="18" fillId="2" borderId="2" xfId="0" applyFont="1" applyFill="1" applyBorder="1" applyAlignment="1">
      <alignment horizontal="center" vertical="center" wrapText="1"/>
    </xf>
    <xf numFmtId="0" fontId="19" fillId="8" borderId="2" xfId="0" applyFont="1" applyFill="1" applyBorder="1" applyAlignment="1">
      <alignment horizontal="left" vertical="center" wrapText="1" indent="1"/>
    </xf>
    <xf numFmtId="10" fontId="20" fillId="4" borderId="2" xfId="0" applyNumberFormat="1" applyFont="1" applyFill="1" applyBorder="1" applyAlignment="1">
      <alignment horizontal="right" vertical="center"/>
    </xf>
    <xf numFmtId="0" fontId="21" fillId="8" borderId="2" xfId="0" applyFont="1" applyFill="1" applyBorder="1" applyAlignment="1">
      <alignment horizontal="left" vertical="center" wrapText="1" indent="1"/>
    </xf>
    <xf numFmtId="3" fontId="20" fillId="4" borderId="2" xfId="0" applyNumberFormat="1" applyFont="1" applyFill="1" applyBorder="1" applyAlignment="1">
      <alignment horizontal="right" vertical="center"/>
    </xf>
    <xf numFmtId="164" fontId="20" fillId="4" borderId="2" xfId="0" applyNumberFormat="1" applyFont="1" applyFill="1" applyBorder="1" applyAlignment="1">
      <alignment horizontal="right" vertical="center"/>
    </xf>
    <xf numFmtId="9" fontId="20" fillId="4" borderId="2" xfId="0" applyNumberFormat="1" applyFont="1" applyFill="1" applyBorder="1" applyAlignment="1">
      <alignment horizontal="right" vertical="center"/>
    </xf>
    <xf numFmtId="0" fontId="19" fillId="8" borderId="2" xfId="0" applyFont="1" applyFill="1" applyBorder="1" applyAlignment="1">
      <alignment horizontal="center" vertical="center" wrapText="1"/>
    </xf>
    <xf numFmtId="0" fontId="22" fillId="4" borderId="2" xfId="0" applyFont="1" applyFill="1" applyBorder="1" applyAlignment="1">
      <alignment horizontal="left" vertical="center" wrapText="1" indent="1"/>
    </xf>
    <xf numFmtId="9" fontId="22" fillId="4" borderId="2" xfId="0" applyNumberFormat="1" applyFont="1" applyFill="1" applyBorder="1" applyAlignment="1">
      <alignment horizontal="right" vertical="center"/>
    </xf>
    <xf numFmtId="4" fontId="23" fillId="5" borderId="2" xfId="0" applyNumberFormat="1" applyFont="1" applyFill="1" applyBorder="1" applyAlignment="1">
      <alignment horizontal="right" vertical="center"/>
    </xf>
    <xf numFmtId="0" fontId="1" fillId="3" borderId="2" xfId="0" applyFont="1" applyFill="1" applyBorder="1"/>
    <xf numFmtId="0" fontId="18" fillId="3" borderId="2" xfId="0" applyFont="1" applyFill="1" applyBorder="1" applyAlignment="1">
      <alignment horizontal="left" vertical="center" wrapText="1" indent="1"/>
    </xf>
    <xf numFmtId="0" fontId="1" fillId="4" borderId="2" xfId="0" applyFont="1" applyFill="1" applyBorder="1"/>
    <xf numFmtId="3" fontId="18" fillId="3" borderId="2" xfId="0" applyNumberFormat="1" applyFont="1" applyFill="1" applyBorder="1" applyAlignment="1">
      <alignment horizontal="right" vertical="center"/>
    </xf>
    <xf numFmtId="0" fontId="1" fillId="5" borderId="2" xfId="0" applyFont="1" applyFill="1" applyBorder="1"/>
    <xf numFmtId="4" fontId="19" fillId="8" borderId="2" xfId="0" applyNumberFormat="1" applyFont="1" applyFill="1" applyBorder="1" applyAlignment="1">
      <alignment horizontal="right" vertical="center"/>
    </xf>
    <xf numFmtId="9" fontId="19" fillId="8" borderId="2" xfId="0" applyNumberFormat="1" applyFont="1" applyFill="1" applyBorder="1" applyAlignment="1">
      <alignment horizontal="right" vertical="center"/>
    </xf>
    <xf numFmtId="0" fontId="17" fillId="12" borderId="2" xfId="0" applyFont="1" applyFill="1" applyBorder="1" applyAlignment="1">
      <alignment horizontal="left" vertical="center" wrapText="1" indent="1"/>
    </xf>
    <xf numFmtId="164" fontId="24" fillId="12" borderId="2" xfId="0" applyNumberFormat="1" applyFont="1" applyFill="1" applyBorder="1" applyAlignment="1">
      <alignment horizontal="center" vertical="center" wrapText="1"/>
    </xf>
    <xf numFmtId="0" fontId="25" fillId="8" borderId="2" xfId="0" applyFont="1" applyFill="1" applyBorder="1" applyAlignment="1">
      <alignment horizontal="left" vertical="center" wrapText="1" indent="1"/>
    </xf>
    <xf numFmtId="0" fontId="24" fillId="5" borderId="2" xfId="0" applyFont="1" applyFill="1" applyBorder="1" applyAlignment="1">
      <alignment horizontal="left" vertical="center" wrapText="1" indent="1"/>
    </xf>
    <xf numFmtId="164" fontId="21" fillId="6" borderId="2" xfId="0" applyNumberFormat="1" applyFont="1" applyFill="1" applyBorder="1" applyAlignment="1">
      <alignment horizontal="right" vertical="center"/>
    </xf>
    <xf numFmtId="3" fontId="21" fillId="8" borderId="2" xfId="0" applyNumberFormat="1" applyFont="1" applyFill="1" applyBorder="1" applyAlignment="1">
      <alignment horizontal="right" vertical="center"/>
    </xf>
    <xf numFmtId="4" fontId="21" fillId="8" borderId="2" xfId="0" applyNumberFormat="1" applyFont="1" applyFill="1" applyBorder="1" applyAlignment="1">
      <alignment horizontal="right" vertical="center"/>
    </xf>
    <xf numFmtId="3" fontId="24" fillId="12" borderId="2" xfId="0" applyNumberFormat="1" applyFont="1" applyFill="1" applyBorder="1" applyAlignment="1">
      <alignment horizontal="center" vertical="center" wrapText="1"/>
    </xf>
    <xf numFmtId="0" fontId="19" fillId="12" borderId="2" xfId="0" applyFont="1" applyFill="1" applyBorder="1" applyAlignment="1">
      <alignment horizontal="left" vertical="center" wrapText="1" indent="1"/>
    </xf>
    <xf numFmtId="3" fontId="24" fillId="12" borderId="2" xfId="0" applyNumberFormat="1" applyFont="1" applyFill="1" applyBorder="1" applyAlignment="1">
      <alignment horizontal="right" vertical="center"/>
    </xf>
    <xf numFmtId="164" fontId="24" fillId="12" borderId="2" xfId="0" applyNumberFormat="1" applyFont="1" applyFill="1" applyBorder="1" applyAlignment="1">
      <alignment horizontal="right" vertical="center"/>
    </xf>
    <xf numFmtId="0" fontId="26" fillId="13" borderId="2" xfId="0" applyFont="1" applyFill="1" applyBorder="1" applyAlignment="1">
      <alignment horizontal="left" vertical="center" wrapText="1" indent="1"/>
    </xf>
    <xf numFmtId="4" fontId="26" fillId="13" borderId="2" xfId="0" applyNumberFormat="1" applyFont="1" applyFill="1" applyBorder="1" applyAlignment="1">
      <alignment horizontal="right" vertical="center"/>
    </xf>
    <xf numFmtId="0" fontId="27" fillId="6" borderId="2" xfId="0" applyFont="1" applyFill="1" applyBorder="1" applyAlignment="1">
      <alignment horizontal="left" vertical="center" wrapText="1" indent="1"/>
    </xf>
    <xf numFmtId="4" fontId="27" fillId="6" borderId="2" xfId="0" applyNumberFormat="1" applyFont="1" applyFill="1" applyBorder="1" applyAlignment="1">
      <alignment horizontal="right" vertical="center"/>
    </xf>
    <xf numFmtId="0" fontId="23" fillId="5" borderId="2" xfId="0" applyFont="1" applyFill="1" applyBorder="1" applyAlignment="1">
      <alignment horizontal="left" vertical="center" wrapText="1" indent="1"/>
    </xf>
    <xf numFmtId="0" fontId="8" fillId="3" borderId="2" xfId="0" applyFont="1" applyFill="1" applyBorder="1" applyAlignment="1">
      <alignment horizontal="left" vertical="center" wrapText="1" indent="1"/>
    </xf>
    <xf numFmtId="4" fontId="8" fillId="3" borderId="2" xfId="0" applyNumberFormat="1" applyFont="1" applyFill="1" applyBorder="1" applyAlignment="1">
      <alignment horizontal="right" vertical="center"/>
    </xf>
    <xf numFmtId="0" fontId="19" fillId="5" borderId="2" xfId="0" applyFont="1" applyFill="1" applyBorder="1" applyAlignment="1">
      <alignment horizontal="left" vertical="center" wrapText="1" indent="1"/>
    </xf>
    <xf numFmtId="0" fontId="24" fillId="12" borderId="2" xfId="0" applyFont="1" applyFill="1" applyBorder="1" applyAlignment="1">
      <alignment horizontal="left" vertical="center" wrapText="1" indent="1"/>
    </xf>
    <xf numFmtId="0" fontId="24" fillId="12" borderId="2" xfId="0" applyFont="1" applyFill="1" applyBorder="1" applyAlignment="1">
      <alignment horizontal="center" vertical="center" wrapText="1"/>
    </xf>
    <xf numFmtId="0" fontId="28" fillId="0" borderId="0" xfId="0" applyFont="1" applyAlignment="1">
      <alignment horizontal="left" vertical="center" wrapText="1" indent="1"/>
    </xf>
    <xf numFmtId="0" fontId="28" fillId="0" borderId="0" xfId="0" applyFont="1"/>
    <xf numFmtId="4" fontId="20" fillId="4" borderId="2" xfId="0" applyNumberFormat="1" applyFont="1" applyFill="1" applyBorder="1" applyAlignment="1">
      <alignment horizontal="right" vertical="center"/>
    </xf>
    <xf numFmtId="164" fontId="19" fillId="8" borderId="2" xfId="0" applyNumberFormat="1" applyFont="1" applyFill="1" applyBorder="1" applyAlignment="1">
      <alignment horizontal="right" vertical="center"/>
    </xf>
    <xf numFmtId="3" fontId="19" fillId="8" borderId="2" xfId="0" applyNumberFormat="1" applyFont="1" applyFill="1" applyBorder="1" applyAlignment="1">
      <alignment horizontal="right" vertical="center"/>
    </xf>
    <xf numFmtId="164" fontId="23" fillId="5" borderId="2" xfId="0" applyNumberFormat="1" applyFont="1" applyFill="1" applyBorder="1" applyAlignment="1">
      <alignment horizontal="right" vertical="center"/>
    </xf>
    <xf numFmtId="3" fontId="23" fillId="5" borderId="2" xfId="0" applyNumberFormat="1" applyFont="1" applyFill="1" applyBorder="1" applyAlignment="1">
      <alignment horizontal="right" vertical="center"/>
    </xf>
    <xf numFmtId="0" fontId="19" fillId="5" borderId="2" xfId="0" applyFont="1" applyFill="1" applyBorder="1" applyAlignment="1">
      <alignment horizontal="center" vertical="center" wrapText="1"/>
    </xf>
    <xf numFmtId="4" fontId="24" fillId="12" borderId="2" xfId="0" applyNumberFormat="1" applyFont="1" applyFill="1" applyBorder="1" applyAlignment="1">
      <alignment horizontal="right" vertical="center"/>
    </xf>
    <xf numFmtId="4" fontId="29" fillId="13" borderId="2" xfId="0" applyNumberFormat="1" applyFont="1" applyFill="1" applyBorder="1" applyAlignment="1">
      <alignment horizontal="right" vertical="center"/>
    </xf>
    <xf numFmtId="4" fontId="30" fillId="5" borderId="2" xfId="0" applyNumberFormat="1" applyFont="1" applyFill="1" applyBorder="1" applyAlignment="1">
      <alignment horizontal="right" vertical="center"/>
    </xf>
    <xf numFmtId="0" fontId="18" fillId="9" borderId="2" xfId="0" applyFont="1" applyFill="1" applyBorder="1" applyAlignment="1">
      <alignment horizontal="center" vertical="center" wrapText="1"/>
    </xf>
    <xf numFmtId="0" fontId="32" fillId="8" borderId="2" xfId="0" applyFont="1" applyFill="1" applyBorder="1" applyAlignment="1">
      <alignment horizontal="left" vertical="center" wrapText="1" indent="1"/>
    </xf>
    <xf numFmtId="3" fontId="32" fillId="8" borderId="2" xfId="0" applyNumberFormat="1" applyFont="1" applyFill="1" applyBorder="1" applyAlignment="1">
      <alignment horizontal="right" vertical="center"/>
    </xf>
    <xf numFmtId="0" fontId="1" fillId="2" borderId="0" xfId="0" applyFont="1" applyFill="1" applyProtection="1">
      <protection locked="0"/>
    </xf>
    <xf numFmtId="0" fontId="1" fillId="0" borderId="0" xfId="0" applyFont="1" applyProtection="1">
      <protection locked="0"/>
    </xf>
    <xf numFmtId="0" fontId="1" fillId="3" borderId="0" xfId="0" applyFont="1" applyFill="1" applyProtection="1">
      <protection locked="0"/>
    </xf>
    <xf numFmtId="0" fontId="7" fillId="2" borderId="0" xfId="0" applyFont="1" applyFill="1" applyAlignment="1" applyProtection="1">
      <alignment horizontal="left" vertical="center" wrapText="1" indent="1"/>
      <protection locked="0"/>
    </xf>
    <xf numFmtId="0" fontId="8" fillId="2" borderId="1" xfId="0" applyFont="1" applyFill="1" applyBorder="1" applyAlignment="1" applyProtection="1">
      <alignment horizontal="left" vertical="center" wrapText="1" indent="1"/>
      <protection locked="0"/>
    </xf>
    <xf numFmtId="0" fontId="10" fillId="2" borderId="0" xfId="0" applyFont="1" applyFill="1" applyAlignment="1" applyProtection="1">
      <alignment horizontal="center" vertical="center" wrapText="1"/>
      <protection locked="0"/>
    </xf>
    <xf numFmtId="0" fontId="11" fillId="2" borderId="0" xfId="0" applyFont="1" applyFill="1" applyAlignment="1" applyProtection="1">
      <alignment horizontal="left" vertical="center" wrapText="1" indent="1"/>
      <protection locked="0"/>
    </xf>
    <xf numFmtId="0" fontId="1" fillId="4" borderId="0" xfId="0" applyFont="1" applyFill="1" applyProtection="1">
      <protection locked="0"/>
    </xf>
    <xf numFmtId="0" fontId="1" fillId="5" borderId="0" xfId="0" applyFont="1" applyFill="1" applyProtection="1">
      <protection locked="0"/>
    </xf>
    <xf numFmtId="0" fontId="1" fillId="6" borderId="0" xfId="0" applyFont="1" applyFill="1" applyProtection="1">
      <protection locked="0"/>
    </xf>
    <xf numFmtId="0" fontId="1" fillId="7" borderId="0" xfId="0" applyFont="1" applyFill="1" applyProtection="1">
      <protection locked="0"/>
    </xf>
    <xf numFmtId="0" fontId="14" fillId="2" borderId="0" xfId="0" applyFont="1" applyFill="1" applyAlignment="1" applyProtection="1">
      <alignment horizontal="center" vertical="center" wrapText="1"/>
      <protection locked="0"/>
    </xf>
    <xf numFmtId="0" fontId="1" fillId="2" borderId="0" xfId="0" applyFont="1" applyFill="1"/>
    <xf numFmtId="0" fontId="1" fillId="3" borderId="0" xfId="0" applyFont="1" applyFill="1"/>
    <xf numFmtId="165" fontId="31" fillId="8" borderId="2" xfId="0" applyNumberFormat="1" applyFont="1" applyFill="1" applyBorder="1" applyAlignment="1">
      <alignment horizontal="right" vertical="center"/>
    </xf>
    <xf numFmtId="0" fontId="8" fillId="10" borderId="0" xfId="0" applyFont="1" applyFill="1" applyAlignment="1">
      <alignment horizontal="left" vertical="center" wrapText="1" indent="1"/>
    </xf>
    <xf numFmtId="0" fontId="8" fillId="11" borderId="0" xfId="0" applyFont="1" applyFill="1" applyAlignment="1">
      <alignment horizontal="left" vertical="center" wrapText="1" indent="1"/>
    </xf>
    <xf numFmtId="164" fontId="31" fillId="4" borderId="2" xfId="0" applyNumberFormat="1" applyFont="1" applyFill="1" applyBorder="1" applyAlignment="1">
      <alignment horizontal="right" vertical="center"/>
    </xf>
    <xf numFmtId="3" fontId="31" fillId="4" borderId="2" xfId="0" applyNumberFormat="1" applyFont="1" applyFill="1" applyBorder="1" applyAlignment="1">
      <alignment horizontal="right" vertical="center"/>
    </xf>
    <xf numFmtId="3" fontId="31" fillId="12" borderId="2" xfId="0" applyNumberFormat="1" applyFont="1" applyFill="1" applyBorder="1" applyAlignment="1">
      <alignment horizontal="right" vertical="center"/>
    </xf>
    <xf numFmtId="164" fontId="31" fillId="12" borderId="2" xfId="0" applyNumberFormat="1" applyFont="1" applyFill="1" applyBorder="1" applyAlignment="1">
      <alignment horizontal="right" vertical="center"/>
    </xf>
    <xf numFmtId="0" fontId="16" fillId="2" borderId="0" xfId="0" applyFont="1" applyFill="1" applyAlignment="1">
      <alignment horizontal="left" vertical="center" wrapText="1" indent="1"/>
    </xf>
    <xf numFmtId="0" fontId="17" fillId="8" borderId="0" xfId="0" applyFont="1" applyFill="1" applyAlignment="1">
      <alignment horizontal="left" vertical="center" wrapText="1" indent="1"/>
    </xf>
    <xf numFmtId="0" fontId="8" fillId="9" borderId="0" xfId="0" applyFont="1" applyFill="1" applyAlignment="1">
      <alignment horizontal="left" vertical="center" wrapText="1" indent="1"/>
    </xf>
    <xf numFmtId="0" fontId="21" fillId="8" borderId="0" xfId="0" applyFont="1" applyFill="1" applyAlignment="1">
      <alignment horizontal="left" vertical="center" wrapText="1" indent="1"/>
    </xf>
    <xf numFmtId="0" fontId="11" fillId="2" borderId="0" xfId="0" applyFont="1" applyFill="1" applyAlignment="1" applyProtection="1">
      <alignment horizontal="left" vertical="center" wrapText="1" indent="1"/>
      <protection locked="0"/>
    </xf>
    <xf numFmtId="0" fontId="15" fillId="2" borderId="0" xfId="0" applyFont="1" applyFill="1" applyAlignment="1" applyProtection="1">
      <alignment horizontal="center" vertical="center" wrapText="1"/>
      <protection locked="0"/>
    </xf>
    <xf numFmtId="0" fontId="13" fillId="2" borderId="0" xfId="0" applyFont="1" applyFill="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12" fillId="2" borderId="0" xfId="0" applyFont="1" applyFill="1" applyAlignment="1" applyProtection="1">
      <alignment horizontal="left" vertical="center" wrapText="1"/>
      <protection locked="0"/>
    </xf>
    <xf numFmtId="0" fontId="2" fillId="2" borderId="0" xfId="0" applyFont="1" applyFill="1" applyAlignment="1">
      <alignment horizontal="left" vertical="center" wrapText="1"/>
    </xf>
    <xf numFmtId="0" fontId="3" fillId="3" borderId="0" xfId="0" applyFont="1" applyFill="1" applyAlignment="1">
      <alignment horizontal="left" vertical="center" wrapText="1" indent="1"/>
    </xf>
    <xf numFmtId="0" fontId="4" fillId="2" borderId="0" xfId="0" applyFont="1" applyFill="1" applyAlignment="1">
      <alignment horizontal="left" vertical="center" wrapText="1"/>
    </xf>
    <xf numFmtId="0" fontId="5" fillId="2" borderId="0" xfId="0" applyFont="1" applyFill="1" applyAlignment="1">
      <alignment horizontal="left" vertical="center" wrapText="1"/>
    </xf>
    <xf numFmtId="0" fontId="6" fillId="2" borderId="0" xfId="0" applyFont="1" applyFill="1" applyAlignment="1">
      <alignment horizontal="left" vertical="center" wrapText="1"/>
    </xf>
    <xf numFmtId="0" fontId="32" fillId="8" borderId="0" xfId="0" applyFont="1" applyFill="1" applyAlignment="1">
      <alignment horizontal="left" vertical="center" wrapText="1" indent="2"/>
    </xf>
    <xf numFmtId="0" fontId="21" fillId="8" borderId="0" xfId="0" applyFont="1" applyFill="1" applyAlignment="1">
      <alignment horizontal="center" vertical="center" wrapText="1"/>
    </xf>
    <xf numFmtId="0" fontId="31" fillId="8" borderId="3" xfId="0" applyFont="1" applyFill="1" applyBorder="1" applyAlignment="1">
      <alignment horizontal="left" vertical="center" wrapText="1" indent="1"/>
    </xf>
    <xf numFmtId="0" fontId="8" fillId="3" borderId="0" xfId="0" applyFont="1" applyFill="1" applyAlignment="1">
      <alignment horizontal="left" vertical="center" wrapText="1" inden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D6608"/>
      <rgbColor rgb="FF8E44AD"/>
      <rgbColor rgb="FF117A65"/>
      <rgbColor rgb="FFBDBDBD"/>
      <rgbColor rgb="FF7F8C8D"/>
      <rgbColor rgb="FFF3E5F5"/>
      <rgbColor rgb="FF922B21"/>
      <rgbColor rgb="FFFCF3CF"/>
      <rgbColor rgb="FFD6EAF8"/>
      <rgbColor rgb="FF660066"/>
      <rgbColor rgb="FFFF8080"/>
      <rgbColor rgb="FF0066CC"/>
      <rgbColor rgb="FFD7BDE2"/>
      <rgbColor rgb="FF000080"/>
      <rgbColor rgb="FFFF00FF"/>
      <rgbColor rgb="FFFFFF00"/>
      <rgbColor rgb="FF00FFFF"/>
      <rgbColor rgb="FF800080"/>
      <rgbColor rgb="FF800000"/>
      <rgbColor rgb="FF008080"/>
      <rgbColor rgb="FF0000FF"/>
      <rgbColor rgb="FF00CCFF"/>
      <rgbColor rgb="FFF2F3F4"/>
      <rgbColor rgb="FFD5F5E3"/>
      <rgbColor rgb="FFFDEDEC"/>
      <rgbColor rgb="FFAED6F1"/>
      <rgbColor rgb="FFD9D9D9"/>
      <rgbColor rgb="FFBDC3C7"/>
      <rgbColor rgb="FFFADBD8"/>
      <rgbColor rgb="FF2E86C1"/>
      <rgbColor rgb="FF33CCCC"/>
      <rgbColor rgb="FF99CC00"/>
      <rgbColor rgb="FFFFCC00"/>
      <rgbColor rgb="FFD4AC0D"/>
      <rgbColor rgb="FFE67E22"/>
      <rgbColor rgb="FF555555"/>
      <rgbColor rgb="FFB3B3B3"/>
      <rgbColor rgb="FF1B4F72"/>
      <rgbColor rgb="FF339966"/>
      <rgbColor rgb="FF0D1B2A"/>
      <rgbColor rgb="FF333300"/>
      <rgbColor rgb="FFA04000"/>
      <rgbColor rgb="FF6C3483"/>
      <rgbColor rgb="FF1A527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Price Comparison Across Modes &amp; Products</a:t>
            </a:r>
          </a:p>
        </c:rich>
      </c:tx>
      <c:overlay val="0"/>
      <c:spPr>
        <a:noFill/>
        <a:ln w="0">
          <a:noFill/>
        </a:ln>
      </c:spPr>
    </c:title>
    <c:autoTitleDeleted val="0"/>
    <c:plotArea>
      <c:layout/>
      <c:barChart>
        <c:barDir val="col"/>
        <c:grouping val="clustered"/>
        <c:varyColors val="0"/>
        <c:ser>
          <c:idx val="0"/>
          <c:order val="0"/>
          <c:tx>
            <c:strRef>
              <c:f>'📈 DASHBOARD'!$B$22</c:f>
              <c:strCache>
                <c:ptCount val="1"/>
                <c:pt idx="0">
                  <c:v>Mode 1 CM%</c:v>
                </c:pt>
              </c:strCache>
            </c:strRef>
          </c:tx>
          <c:spPr>
            <a:solidFill>
              <a:srgbClr val="2E86C1"/>
            </a:solidFill>
            <a:ln w="9360">
              <a:noFill/>
            </a:ln>
          </c:spPr>
          <c:invertIfNegative val="0"/>
          <c:dLbls>
            <c:spPr>
              <a:noFill/>
              <a:ln>
                <a:noFill/>
              </a:ln>
              <a:effectLst/>
            </c:spPr>
            <c:txPr>
              <a:bodyPr wrap="squar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 DASHBOARD'!$A$23:$A$27</c:f>
              <c:strCache>
                <c:ptCount val="5"/>
                <c:pt idx="0">
                  <c:v>Widget Pro</c:v>
                </c:pt>
                <c:pt idx="1">
                  <c:v>Starter Pack</c:v>
                </c:pt>
                <c:pt idx="2">
                  <c:v>Premium Bundle</c:v>
                </c:pt>
                <c:pt idx="3">
                  <c:v>Service Plan</c:v>
                </c:pt>
                <c:pt idx="4">
                  <c:v>Bulk Unit</c:v>
                </c:pt>
              </c:strCache>
            </c:strRef>
          </c:cat>
          <c:val>
            <c:numRef>
              <c:f>'📈 DASHBOARD'!$B$23:$B$27</c:f>
              <c:numCache>
                <c:formatCode>#,##0</c:formatCode>
                <c:ptCount val="5"/>
                <c:pt idx="0">
                  <c:v>584.61538461538464</c:v>
                </c:pt>
                <c:pt idx="1">
                  <c:v>323.07692307692304</c:v>
                </c:pt>
                <c:pt idx="2">
                  <c:v>1046.1538461538462</c:v>
                </c:pt>
                <c:pt idx="3">
                  <c:v>692.30769230769226</c:v>
                </c:pt>
                <c:pt idx="4">
                  <c:v>223.07692307692307</c:v>
                </c:pt>
              </c:numCache>
            </c:numRef>
          </c:val>
          <c:extLst>
            <c:ext xmlns:c16="http://schemas.microsoft.com/office/drawing/2014/chart" uri="{C3380CC4-5D6E-409C-BE32-E72D297353CC}">
              <c16:uniqueId val="{00000000-D017-4D5F-9957-AD61B8A947B8}"/>
            </c:ext>
          </c:extLst>
        </c:ser>
        <c:ser>
          <c:idx val="1"/>
          <c:order val="1"/>
          <c:tx>
            <c:strRef>
              <c:f>'📈 DASHBOARD'!$C$22</c:f>
              <c:strCache>
                <c:ptCount val="1"/>
                <c:pt idx="0">
                  <c:v>Mode 2 Markup</c:v>
                </c:pt>
              </c:strCache>
            </c:strRef>
          </c:tx>
          <c:spPr>
            <a:solidFill>
              <a:srgbClr val="E67E22"/>
            </a:solidFill>
            <a:ln w="9360">
              <a:noFill/>
            </a:ln>
          </c:spPr>
          <c:invertIfNegative val="0"/>
          <c:dLbls>
            <c:spPr>
              <a:noFill/>
              <a:ln>
                <a:noFill/>
              </a:ln>
              <a:effectLst/>
            </c:spPr>
            <c:txPr>
              <a:bodyPr wrap="squar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 DASHBOARD'!$A$23:$A$27</c:f>
              <c:strCache>
                <c:ptCount val="5"/>
                <c:pt idx="0">
                  <c:v>Widget Pro</c:v>
                </c:pt>
                <c:pt idx="1">
                  <c:v>Starter Pack</c:v>
                </c:pt>
                <c:pt idx="2">
                  <c:v>Premium Bundle</c:v>
                </c:pt>
                <c:pt idx="3">
                  <c:v>Service Plan</c:v>
                </c:pt>
                <c:pt idx="4">
                  <c:v>Bulk Unit</c:v>
                </c:pt>
              </c:strCache>
            </c:strRef>
          </c:cat>
          <c:val>
            <c:numRef>
              <c:f>'📈 DASHBOARD'!$C$23:$C$27</c:f>
              <c:numCache>
                <c:formatCode>#,##0</c:formatCode>
                <c:ptCount val="5"/>
                <c:pt idx="0">
                  <c:v>608</c:v>
                </c:pt>
                <c:pt idx="1">
                  <c:v>336</c:v>
                </c:pt>
                <c:pt idx="2">
                  <c:v>1088</c:v>
                </c:pt>
                <c:pt idx="3">
                  <c:v>720</c:v>
                </c:pt>
                <c:pt idx="4">
                  <c:v>232</c:v>
                </c:pt>
              </c:numCache>
            </c:numRef>
          </c:val>
          <c:extLst>
            <c:ext xmlns:c16="http://schemas.microsoft.com/office/drawing/2014/chart" uri="{C3380CC4-5D6E-409C-BE32-E72D297353CC}">
              <c16:uniqueId val="{00000001-D017-4D5F-9957-AD61B8A947B8}"/>
            </c:ext>
          </c:extLst>
        </c:ser>
        <c:ser>
          <c:idx val="2"/>
          <c:order val="2"/>
          <c:tx>
            <c:strRef>
              <c:f>'📈 DASHBOARD'!$D$22</c:f>
              <c:strCache>
                <c:ptCount val="1"/>
                <c:pt idx="0">
                  <c:v>Mode 3 PAT</c:v>
                </c:pt>
              </c:strCache>
            </c:strRef>
          </c:tx>
          <c:spPr>
            <a:solidFill>
              <a:srgbClr val="8E44AD"/>
            </a:solidFill>
            <a:ln w="9360">
              <a:noFill/>
            </a:ln>
          </c:spPr>
          <c:invertIfNegative val="0"/>
          <c:dLbls>
            <c:spPr>
              <a:noFill/>
              <a:ln>
                <a:noFill/>
              </a:ln>
              <a:effectLst/>
            </c:spPr>
            <c:txPr>
              <a:bodyPr wrap="squar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 DASHBOARD'!$A$23:$A$27</c:f>
              <c:strCache>
                <c:ptCount val="5"/>
                <c:pt idx="0">
                  <c:v>Widget Pro</c:v>
                </c:pt>
                <c:pt idx="1">
                  <c:v>Starter Pack</c:v>
                </c:pt>
                <c:pt idx="2">
                  <c:v>Premium Bundle</c:v>
                </c:pt>
                <c:pt idx="3">
                  <c:v>Service Plan</c:v>
                </c:pt>
                <c:pt idx="4">
                  <c:v>Bulk Unit</c:v>
                </c:pt>
              </c:strCache>
            </c:strRef>
          </c:cat>
          <c:val>
            <c:numRef>
              <c:f>'📈 DASHBOARD'!$D$23:$D$27</c:f>
              <c:numCache>
                <c:formatCode>#,##0</c:formatCode>
                <c:ptCount val="5"/>
                <c:pt idx="0">
                  <c:v>532.22149371909666</c:v>
                </c:pt>
                <c:pt idx="1">
                  <c:v>329.99990281000572</c:v>
                </c:pt>
                <c:pt idx="2">
                  <c:v>909.13121594131883</c:v>
                </c:pt>
                <c:pt idx="3">
                  <c:v>581.90899371909666</c:v>
                </c:pt>
                <c:pt idx="4">
                  <c:v>256.13121594131883</c:v>
                </c:pt>
              </c:numCache>
            </c:numRef>
          </c:val>
          <c:extLst>
            <c:ext xmlns:c16="http://schemas.microsoft.com/office/drawing/2014/chart" uri="{C3380CC4-5D6E-409C-BE32-E72D297353CC}">
              <c16:uniqueId val="{00000002-D017-4D5F-9957-AD61B8A947B8}"/>
            </c:ext>
          </c:extLst>
        </c:ser>
        <c:ser>
          <c:idx val="3"/>
          <c:order val="3"/>
          <c:tx>
            <c:strRef>
              <c:f>'📈 DASHBOARD'!$E$22</c:f>
              <c:strCache>
                <c:ptCount val="1"/>
                <c:pt idx="0">
                  <c:v>VB Optimal</c:v>
                </c:pt>
              </c:strCache>
            </c:strRef>
          </c:tx>
          <c:spPr>
            <a:solidFill>
              <a:srgbClr val="D4AC0D"/>
            </a:solidFill>
            <a:ln w="9360">
              <a:noFill/>
            </a:ln>
          </c:spPr>
          <c:invertIfNegative val="0"/>
          <c:dLbls>
            <c:spPr>
              <a:noFill/>
              <a:ln>
                <a:noFill/>
              </a:ln>
              <a:effectLst/>
            </c:spPr>
            <c:txPr>
              <a:bodyPr wrap="squar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 DASHBOARD'!$A$23:$A$27</c:f>
              <c:strCache>
                <c:ptCount val="5"/>
                <c:pt idx="0">
                  <c:v>Widget Pro</c:v>
                </c:pt>
                <c:pt idx="1">
                  <c:v>Starter Pack</c:v>
                </c:pt>
                <c:pt idx="2">
                  <c:v>Premium Bundle</c:v>
                </c:pt>
                <c:pt idx="3">
                  <c:v>Service Plan</c:v>
                </c:pt>
                <c:pt idx="4">
                  <c:v>Bulk Unit</c:v>
                </c:pt>
              </c:strCache>
            </c:strRef>
          </c:cat>
          <c:val>
            <c:numRef>
              <c:f>'📈 DASHBOARD'!$E$23:$E$27</c:f>
              <c:numCache>
                <c:formatCode>#,##0</c:formatCode>
                <c:ptCount val="5"/>
                <c:pt idx="0">
                  <c:v>584.61538461538464</c:v>
                </c:pt>
                <c:pt idx="1">
                  <c:v>323.07692307692304</c:v>
                </c:pt>
                <c:pt idx="2">
                  <c:v>0</c:v>
                </c:pt>
                <c:pt idx="3">
                  <c:v>692.30769230769226</c:v>
                </c:pt>
                <c:pt idx="4">
                  <c:v>223.07692307692307</c:v>
                </c:pt>
              </c:numCache>
            </c:numRef>
          </c:val>
          <c:extLst>
            <c:ext xmlns:c16="http://schemas.microsoft.com/office/drawing/2014/chart" uri="{C3380CC4-5D6E-409C-BE32-E72D297353CC}">
              <c16:uniqueId val="{00000003-D017-4D5F-9957-AD61B8A947B8}"/>
            </c:ext>
          </c:extLst>
        </c:ser>
        <c:ser>
          <c:idx val="4"/>
          <c:order val="4"/>
          <c:tx>
            <c:strRef>
              <c:f>'📈 DASHBOARD'!$F$22</c:f>
              <c:strCache>
                <c:ptCount val="1"/>
                <c:pt idx="0">
                  <c:v>Floor</c:v>
                </c:pt>
              </c:strCache>
            </c:strRef>
          </c:tx>
          <c:spPr>
            <a:solidFill>
              <a:srgbClr val="117A65"/>
            </a:solidFill>
            <a:ln w="9360">
              <a:noFill/>
            </a:ln>
          </c:spPr>
          <c:invertIfNegative val="0"/>
          <c:dLbls>
            <c:spPr>
              <a:noFill/>
              <a:ln>
                <a:noFill/>
              </a:ln>
              <a:effectLst/>
            </c:spPr>
            <c:txPr>
              <a:bodyPr wrap="squar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 DASHBOARD'!$A$23:$A$27</c:f>
              <c:strCache>
                <c:ptCount val="5"/>
                <c:pt idx="0">
                  <c:v>Widget Pro</c:v>
                </c:pt>
                <c:pt idx="1">
                  <c:v>Starter Pack</c:v>
                </c:pt>
                <c:pt idx="2">
                  <c:v>Premium Bundle</c:v>
                </c:pt>
                <c:pt idx="3">
                  <c:v>Service Plan</c:v>
                </c:pt>
                <c:pt idx="4">
                  <c:v>Bulk Unit</c:v>
                </c:pt>
              </c:strCache>
            </c:strRef>
          </c:cat>
          <c:val>
            <c:numRef>
              <c:f>'📈 DASHBOARD'!$F$23:$F$27</c:f>
              <c:numCache>
                <c:formatCode>#,##0</c:formatCode>
                <c:ptCount val="5"/>
                <c:pt idx="0">
                  <c:v>425.3125</c:v>
                </c:pt>
                <c:pt idx="1">
                  <c:v>223.09090909090909</c:v>
                </c:pt>
                <c:pt idx="2">
                  <c:v>802.22222222222217</c:v>
                </c:pt>
                <c:pt idx="3">
                  <c:v>475</c:v>
                </c:pt>
                <c:pt idx="4">
                  <c:v>149.22222222222223</c:v>
                </c:pt>
              </c:numCache>
            </c:numRef>
          </c:val>
          <c:extLst>
            <c:ext xmlns:c16="http://schemas.microsoft.com/office/drawing/2014/chart" uri="{C3380CC4-5D6E-409C-BE32-E72D297353CC}">
              <c16:uniqueId val="{00000004-D017-4D5F-9957-AD61B8A947B8}"/>
            </c:ext>
          </c:extLst>
        </c:ser>
        <c:dLbls>
          <c:showLegendKey val="0"/>
          <c:showVal val="0"/>
          <c:showCatName val="0"/>
          <c:showSerName val="0"/>
          <c:showPercent val="0"/>
          <c:showBubbleSize val="0"/>
        </c:dLbls>
        <c:gapWidth val="80"/>
        <c:axId val="8970988"/>
        <c:axId val="52984107"/>
      </c:barChart>
      <c:catAx>
        <c:axId val="8970988"/>
        <c:scaling>
          <c:orientation val="minMax"/>
        </c:scaling>
        <c:delete val="0"/>
        <c:axPos val="b"/>
        <c:numFmt formatCode="General"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2984107"/>
        <c:crosses val="autoZero"/>
        <c:auto val="1"/>
        <c:lblAlgn val="ctr"/>
        <c:lblOffset val="100"/>
        <c:noMultiLvlLbl val="0"/>
      </c:catAx>
      <c:valAx>
        <c:axId val="52984107"/>
        <c:scaling>
          <c:orientation val="minMax"/>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Price (₹, ex-GST)</a:t>
                </a:r>
              </a:p>
            </c:rich>
          </c:tx>
          <c:overlay val="0"/>
          <c:spPr>
            <a:noFill/>
            <a:ln w="0">
              <a:noFill/>
            </a:ln>
          </c:spPr>
        </c:title>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970988"/>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Widget Pro: Profit at Every Price Point</a:t>
            </a:r>
          </a:p>
        </c:rich>
      </c:tx>
      <c:overlay val="0"/>
      <c:spPr>
        <a:noFill/>
        <a:ln w="0">
          <a:noFill/>
        </a:ln>
      </c:spPr>
    </c:title>
    <c:autoTitleDeleted val="0"/>
    <c:plotArea>
      <c:layout/>
      <c:lineChart>
        <c:grouping val="standard"/>
        <c:varyColors val="0"/>
        <c:ser>
          <c:idx val="0"/>
          <c:order val="0"/>
          <c:tx>
            <c:strRef>
              <c:f>'📈 DASHBOARD'!$B$30</c:f>
              <c:strCache>
                <c:ptCount val="1"/>
                <c:pt idx="0">
                  <c:v>Profit (₹)</c:v>
                </c:pt>
              </c:strCache>
            </c:strRef>
          </c:tx>
          <c:spPr>
            <a:ln w="28080">
              <a:solidFill>
                <a:srgbClr val="2E86C1"/>
              </a:solidFill>
              <a:round/>
            </a:ln>
          </c:spPr>
          <c:marker>
            <c:symbol val="circle"/>
            <c:size val="7"/>
            <c:spPr>
              <a:solidFill>
                <a:srgbClr val="2E86C1"/>
              </a:solidFill>
            </c:spPr>
          </c:marker>
          <c:dLbls>
            <c:spPr>
              <a:noFill/>
              <a:ln>
                <a:noFill/>
              </a:ln>
              <a:effectLst/>
            </c:spPr>
            <c:txPr>
              <a:bodyPr wrap="square"/>
              <a:lstStyle/>
              <a:p>
                <a:pPr>
                  <a:defRPr sz="1000" b="0" strike="noStrike" spc="-1">
                    <a:solidFill>
                      <a:srgbClr val="000000"/>
                    </a:solidFill>
                    <a:latin typeface="Arial"/>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 DASHBOARD'!$A$31:$A$42</c:f>
              <c:numCache>
                <c:formatCode>#,##0</c:formatCode>
                <c:ptCount val="12"/>
                <c:pt idx="0">
                  <c:v>399</c:v>
                </c:pt>
                <c:pt idx="1">
                  <c:v>418</c:v>
                </c:pt>
                <c:pt idx="2">
                  <c:v>456</c:v>
                </c:pt>
                <c:pt idx="3">
                  <c:v>494</c:v>
                </c:pt>
                <c:pt idx="4">
                  <c:v>532</c:v>
                </c:pt>
                <c:pt idx="5">
                  <c:v>570</c:v>
                </c:pt>
                <c:pt idx="6">
                  <c:v>608</c:v>
                </c:pt>
                <c:pt idx="7">
                  <c:v>646</c:v>
                </c:pt>
                <c:pt idx="8">
                  <c:v>684</c:v>
                </c:pt>
                <c:pt idx="9">
                  <c:v>722</c:v>
                </c:pt>
                <c:pt idx="10">
                  <c:v>760</c:v>
                </c:pt>
                <c:pt idx="11">
                  <c:v>836</c:v>
                </c:pt>
              </c:numCache>
            </c:numRef>
          </c:cat>
          <c:val>
            <c:numRef>
              <c:f>'📈 DASHBOARD'!$B$31:$B$42</c:f>
              <c:numCache>
                <c:formatCode>#,##0</c:formatCode>
                <c:ptCount val="12"/>
                <c:pt idx="0">
                  <c:v>-61400</c:v>
                </c:pt>
                <c:pt idx="1">
                  <c:v>15702</c:v>
                </c:pt>
                <c:pt idx="2">
                  <c:v>150336</c:v>
                </c:pt>
                <c:pt idx="3">
                  <c:v>258902</c:v>
                </c:pt>
                <c:pt idx="4">
                  <c:v>341400</c:v>
                </c:pt>
                <c:pt idx="5">
                  <c:v>397830</c:v>
                </c:pt>
                <c:pt idx="6">
                  <c:v>428192</c:v>
                </c:pt>
                <c:pt idx="7">
                  <c:v>432486</c:v>
                </c:pt>
                <c:pt idx="8">
                  <c:v>411016</c:v>
                </c:pt>
                <c:pt idx="9">
                  <c:v>363212</c:v>
                </c:pt>
                <c:pt idx="10">
                  <c:v>289340</c:v>
                </c:pt>
                <c:pt idx="11">
                  <c:v>63392</c:v>
                </c:pt>
              </c:numCache>
            </c:numRef>
          </c:val>
          <c:smooth val="1"/>
          <c:extLst>
            <c:ext xmlns:c16="http://schemas.microsoft.com/office/drawing/2014/chart" uri="{C3380CC4-5D6E-409C-BE32-E72D297353CC}">
              <c16:uniqueId val="{00000000-908D-4F2A-A290-C91E62D4EC22}"/>
            </c:ext>
          </c:extLst>
        </c:ser>
        <c:dLbls>
          <c:showLegendKey val="0"/>
          <c:showVal val="0"/>
          <c:showCatName val="0"/>
          <c:showSerName val="0"/>
          <c:showPercent val="0"/>
          <c:showBubbleSize val="0"/>
        </c:dLbls>
        <c:hiLowLines>
          <c:spPr>
            <a:ln w="0">
              <a:noFill/>
            </a:ln>
          </c:spPr>
        </c:hiLowLines>
        <c:marker val="1"/>
        <c:smooth val="0"/>
        <c:axId val="3060062"/>
        <c:axId val="83262719"/>
      </c:lineChart>
      <c:catAx>
        <c:axId val="3060062"/>
        <c:scaling>
          <c:orientation val="minMax"/>
        </c:scaling>
        <c:delete val="0"/>
        <c:axPos val="b"/>
        <c:title>
          <c:tx>
            <c:rich>
              <a:bodyPr rot="0"/>
              <a:lstStyle/>
              <a:p>
                <a:pPr>
                  <a:defRPr sz="1000" b="1" strike="noStrike" spc="-1">
                    <a:solidFill>
                      <a:srgbClr val="000000"/>
                    </a:solidFill>
                    <a:latin typeface="Calibri"/>
                  </a:defRPr>
                </a:pPr>
                <a:r>
                  <a:rPr lang="en-US" sz="1000" b="1" strike="noStrike" spc="-1">
                    <a:solidFill>
                      <a:srgbClr val="000000"/>
                    </a:solidFill>
                    <a:latin typeface="Calibri"/>
                  </a:rPr>
                  <a:t>Price (₹ ex-GST)</a:t>
                </a:r>
              </a:p>
            </c:rich>
          </c:tx>
          <c:overlay val="0"/>
          <c:spPr>
            <a:noFill/>
            <a:ln w="0">
              <a:noFill/>
            </a:ln>
          </c:spPr>
        </c:title>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3262719"/>
        <c:crosses val="autoZero"/>
        <c:auto val="1"/>
        <c:lblAlgn val="ctr"/>
        <c:lblOffset val="100"/>
        <c:noMultiLvlLbl val="0"/>
      </c:catAx>
      <c:valAx>
        <c:axId val="83262719"/>
        <c:scaling>
          <c:orientation val="minMax"/>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Monthly Profit (₹)</a:t>
                </a:r>
              </a:p>
            </c:rich>
          </c:tx>
          <c:overlay val="0"/>
          <c:spPr>
            <a:noFill/>
            <a:ln w="0">
              <a:noFill/>
            </a:ln>
          </c:spPr>
        </c:title>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3060062"/>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18</xdr:col>
      <xdr:colOff>363240</xdr:colOff>
      <xdr:row>16</xdr:row>
      <xdr:rowOff>148410</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0</xdr:colOff>
      <xdr:row>19</xdr:row>
      <xdr:rowOff>0</xdr:rowOff>
    </xdr:from>
    <xdr:to>
      <xdr:col>18</xdr:col>
      <xdr:colOff>363240</xdr:colOff>
      <xdr:row>38</xdr:row>
      <xdr:rowOff>5385</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1B2A"/>
  </sheetPr>
  <dimension ref="A1:G59"/>
  <sheetViews>
    <sheetView zoomScaleNormal="100" workbookViewId="0">
      <selection sqref="A1:G11"/>
    </sheetView>
  </sheetViews>
  <sheetFormatPr defaultColWidth="8.7109375" defaultRowHeight="15" x14ac:dyDescent="0.25"/>
  <cols>
    <col min="1" max="1" width="3" style="56" customWidth="1"/>
    <col min="2" max="2" width="32" style="56" customWidth="1"/>
    <col min="3" max="3" width="64.28515625" style="56" customWidth="1"/>
    <col min="4" max="4" width="5" style="56" customWidth="1"/>
    <col min="5" max="16384" width="8.7109375" style="56"/>
  </cols>
  <sheetData>
    <row r="1" spans="1:7" ht="18" customHeight="1" x14ac:dyDescent="0.25">
      <c r="A1" s="67"/>
      <c r="B1" s="67"/>
      <c r="C1" s="67"/>
      <c r="D1" s="67"/>
      <c r="E1" s="67"/>
      <c r="F1" s="67"/>
      <c r="G1" s="67"/>
    </row>
    <row r="2" spans="1:7" ht="31.5" customHeight="1" x14ac:dyDescent="0.25">
      <c r="A2" s="67"/>
      <c r="B2" s="85" t="s">
        <v>0</v>
      </c>
      <c r="C2" s="85"/>
      <c r="D2" s="67"/>
      <c r="E2" s="67"/>
      <c r="F2" s="67"/>
      <c r="G2" s="67"/>
    </row>
    <row r="3" spans="1:7" ht="27.75" customHeight="1" x14ac:dyDescent="0.25">
      <c r="A3" s="67"/>
      <c r="B3" s="85"/>
      <c r="C3" s="85"/>
      <c r="D3" s="67"/>
      <c r="E3" s="67"/>
      <c r="F3" s="67"/>
      <c r="G3" s="67"/>
    </row>
    <row r="4" spans="1:7" ht="18" customHeight="1" x14ac:dyDescent="0.25">
      <c r="A4" s="68"/>
      <c r="B4" s="86" t="s">
        <v>1</v>
      </c>
      <c r="C4" s="86"/>
      <c r="D4" s="68"/>
      <c r="E4" s="68"/>
      <c r="F4" s="68"/>
      <c r="G4" s="68"/>
    </row>
    <row r="5" spans="1:7" ht="18" customHeight="1" x14ac:dyDescent="0.25">
      <c r="A5" s="68"/>
      <c r="B5" s="86"/>
      <c r="C5" s="86"/>
      <c r="D5" s="68"/>
      <c r="E5" s="68"/>
      <c r="F5" s="68"/>
      <c r="G5" s="68"/>
    </row>
    <row r="6" spans="1:7" ht="18" customHeight="1" x14ac:dyDescent="0.25">
      <c r="A6" s="67"/>
      <c r="B6" s="67"/>
      <c r="C6" s="67"/>
      <c r="D6" s="67"/>
      <c r="E6" s="67"/>
      <c r="F6" s="67"/>
      <c r="G6" s="67"/>
    </row>
    <row r="7" spans="1:7" ht="7.5" customHeight="1" x14ac:dyDescent="0.25">
      <c r="A7" s="67"/>
      <c r="B7" s="67"/>
      <c r="C7" s="67"/>
      <c r="D7" s="67"/>
      <c r="E7" s="67"/>
      <c r="F7" s="67"/>
      <c r="G7" s="67"/>
    </row>
    <row r="8" spans="1:7" ht="31.5" customHeight="1" x14ac:dyDescent="0.25">
      <c r="A8" s="67"/>
      <c r="B8" s="87" t="s">
        <v>2</v>
      </c>
      <c r="C8" s="87"/>
      <c r="D8" s="67"/>
      <c r="E8" s="67"/>
      <c r="F8" s="67"/>
      <c r="G8" s="67"/>
    </row>
    <row r="9" spans="1:7" ht="27.75" customHeight="1" x14ac:dyDescent="0.25">
      <c r="A9" s="67"/>
      <c r="B9" s="87"/>
      <c r="C9" s="87"/>
      <c r="D9" s="67"/>
      <c r="E9" s="67"/>
      <c r="F9" s="67"/>
      <c r="G9" s="67"/>
    </row>
    <row r="10" spans="1:7" ht="21.75" customHeight="1" x14ac:dyDescent="0.25">
      <c r="A10" s="67"/>
      <c r="B10" s="88" t="s">
        <v>3</v>
      </c>
      <c r="C10" s="88"/>
      <c r="D10" s="67"/>
      <c r="E10" s="67"/>
      <c r="F10" s="67"/>
      <c r="G10" s="67"/>
    </row>
    <row r="11" spans="1:7" ht="18" customHeight="1" x14ac:dyDescent="0.25">
      <c r="A11" s="67"/>
      <c r="B11" s="89" t="s">
        <v>4</v>
      </c>
      <c r="C11" s="89"/>
      <c r="D11" s="67"/>
      <c r="E11" s="67"/>
      <c r="F11" s="67"/>
      <c r="G11" s="67"/>
    </row>
    <row r="12" spans="1:7" ht="18" customHeight="1" x14ac:dyDescent="0.25">
      <c r="A12" s="55"/>
      <c r="B12" s="55"/>
      <c r="C12" s="55"/>
      <c r="D12" s="55"/>
      <c r="E12" s="55"/>
      <c r="F12" s="55"/>
      <c r="G12" s="55"/>
    </row>
    <row r="13" spans="1:7" ht="3" customHeight="1" x14ac:dyDescent="0.25">
      <c r="A13" s="55"/>
      <c r="B13" s="57"/>
      <c r="C13" s="57"/>
      <c r="D13" s="57"/>
      <c r="E13" s="55"/>
      <c r="F13" s="55"/>
      <c r="G13" s="55"/>
    </row>
    <row r="14" spans="1:7" ht="18" customHeight="1" x14ac:dyDescent="0.25">
      <c r="A14" s="55"/>
      <c r="B14" s="55"/>
      <c r="C14" s="55"/>
      <c r="D14" s="55"/>
      <c r="E14" s="55"/>
      <c r="F14" s="55"/>
      <c r="G14" s="55"/>
    </row>
    <row r="15" spans="1:7" ht="19.5" customHeight="1" x14ac:dyDescent="0.25">
      <c r="A15" s="55"/>
      <c r="B15" s="58" t="s">
        <v>5</v>
      </c>
      <c r="C15" s="59" t="s">
        <v>6</v>
      </c>
      <c r="D15" s="55"/>
      <c r="E15" s="55"/>
      <c r="F15" s="55"/>
      <c r="G15" s="55"/>
    </row>
    <row r="16" spans="1:7" ht="19.5" customHeight="1" x14ac:dyDescent="0.25">
      <c r="A16" s="55"/>
      <c r="B16" s="58" t="s">
        <v>7</v>
      </c>
      <c r="C16" s="59" t="s">
        <v>8</v>
      </c>
      <c r="D16" s="55"/>
      <c r="E16" s="55"/>
      <c r="F16" s="55"/>
      <c r="G16" s="55"/>
    </row>
    <row r="17" spans="1:7" ht="19.5" customHeight="1" x14ac:dyDescent="0.25">
      <c r="A17" s="55"/>
      <c r="B17" s="58" t="s">
        <v>9</v>
      </c>
      <c r="C17" s="59" t="s">
        <v>10</v>
      </c>
      <c r="D17" s="55"/>
      <c r="E17" s="55"/>
      <c r="F17" s="55"/>
      <c r="G17" s="55"/>
    </row>
    <row r="18" spans="1:7" ht="19.5" customHeight="1" x14ac:dyDescent="0.25">
      <c r="A18" s="55"/>
      <c r="B18" s="58" t="s">
        <v>11</v>
      </c>
      <c r="C18" s="59" t="s">
        <v>12</v>
      </c>
      <c r="D18" s="55"/>
      <c r="E18" s="55"/>
      <c r="F18" s="55"/>
      <c r="G18" s="55"/>
    </row>
    <row r="19" spans="1:7" ht="19.5" customHeight="1" x14ac:dyDescent="0.25">
      <c r="A19" s="55"/>
      <c r="B19" s="58" t="s">
        <v>13</v>
      </c>
      <c r="C19" s="59" t="s">
        <v>14</v>
      </c>
      <c r="D19" s="55"/>
      <c r="E19" s="55"/>
      <c r="F19" s="55"/>
      <c r="G19" s="55"/>
    </row>
    <row r="20" spans="1:7" ht="18" customHeight="1" x14ac:dyDescent="0.25">
      <c r="A20" s="55"/>
      <c r="B20" s="55"/>
      <c r="C20" s="55"/>
      <c r="D20" s="55"/>
      <c r="E20" s="55"/>
      <c r="F20" s="55"/>
      <c r="G20" s="55"/>
    </row>
    <row r="21" spans="1:7" ht="7.5" customHeight="1" x14ac:dyDescent="0.25">
      <c r="A21" s="55"/>
      <c r="B21" s="55"/>
      <c r="C21" s="55"/>
      <c r="D21" s="55"/>
      <c r="E21" s="55"/>
      <c r="F21" s="55"/>
      <c r="G21" s="55"/>
    </row>
    <row r="22" spans="1:7" ht="21.75" customHeight="1" x14ac:dyDescent="0.25">
      <c r="A22" s="55"/>
      <c r="B22" s="83" t="s">
        <v>15</v>
      </c>
      <c r="C22" s="83"/>
      <c r="D22" s="55"/>
      <c r="E22" s="55"/>
      <c r="F22" s="55"/>
      <c r="G22" s="55"/>
    </row>
    <row r="23" spans="1:7" ht="18.75" customHeight="1" x14ac:dyDescent="0.25">
      <c r="A23" s="55"/>
      <c r="B23" s="60" t="s">
        <v>16</v>
      </c>
      <c r="C23" s="61" t="s">
        <v>17</v>
      </c>
      <c r="D23" s="55"/>
      <c r="E23" s="55"/>
      <c r="F23" s="55"/>
      <c r="G23" s="55"/>
    </row>
    <row r="24" spans="1:7" ht="18.75" customHeight="1" x14ac:dyDescent="0.25">
      <c r="A24" s="55"/>
      <c r="B24" s="60" t="s">
        <v>18</v>
      </c>
      <c r="C24" s="61" t="s">
        <v>19</v>
      </c>
      <c r="D24" s="55"/>
      <c r="E24" s="55"/>
      <c r="F24" s="55"/>
      <c r="G24" s="55"/>
    </row>
    <row r="25" spans="1:7" ht="34.5" customHeight="1" x14ac:dyDescent="0.25">
      <c r="A25" s="55"/>
      <c r="B25" s="60" t="s">
        <v>20</v>
      </c>
      <c r="C25" s="61" t="s">
        <v>21</v>
      </c>
      <c r="D25" s="55"/>
      <c r="E25" s="55"/>
      <c r="F25" s="55"/>
      <c r="G25" s="55"/>
    </row>
    <row r="26" spans="1:7" ht="36.75" customHeight="1" x14ac:dyDescent="0.25">
      <c r="A26" s="55"/>
      <c r="B26" s="60" t="s">
        <v>22</v>
      </c>
      <c r="C26" s="61" t="s">
        <v>23</v>
      </c>
      <c r="D26" s="55"/>
      <c r="E26" s="55"/>
      <c r="F26" s="55"/>
      <c r="G26" s="55"/>
    </row>
    <row r="27" spans="1:7" ht="18.75" customHeight="1" x14ac:dyDescent="0.25">
      <c r="A27" s="55"/>
      <c r="B27" s="60" t="s">
        <v>24</v>
      </c>
      <c r="C27" s="61" t="s">
        <v>25</v>
      </c>
      <c r="D27" s="55"/>
      <c r="E27" s="55"/>
      <c r="F27" s="55"/>
      <c r="G27" s="55"/>
    </row>
    <row r="28" spans="1:7" ht="18.75" customHeight="1" x14ac:dyDescent="0.25">
      <c r="A28" s="55"/>
      <c r="B28" s="60" t="s">
        <v>26</v>
      </c>
      <c r="C28" s="61" t="s">
        <v>27</v>
      </c>
      <c r="D28" s="55"/>
      <c r="E28" s="55"/>
      <c r="F28" s="55"/>
      <c r="G28" s="55"/>
    </row>
    <row r="29" spans="1:7" ht="18.75" customHeight="1" x14ac:dyDescent="0.25">
      <c r="A29" s="55"/>
      <c r="B29" s="60" t="s">
        <v>28</v>
      </c>
      <c r="C29" s="61" t="s">
        <v>29</v>
      </c>
      <c r="D29" s="55"/>
      <c r="E29" s="55"/>
      <c r="F29" s="55"/>
      <c r="G29" s="55"/>
    </row>
    <row r="30" spans="1:7" ht="18" customHeight="1" x14ac:dyDescent="0.25">
      <c r="A30" s="55"/>
      <c r="B30" s="55"/>
      <c r="C30" s="55"/>
      <c r="D30" s="55"/>
      <c r="E30" s="55"/>
      <c r="F30" s="55"/>
      <c r="G30" s="55"/>
    </row>
    <row r="31" spans="1:7" ht="7.5" customHeight="1" x14ac:dyDescent="0.25">
      <c r="A31" s="55"/>
      <c r="B31" s="55"/>
      <c r="C31" s="55"/>
      <c r="D31" s="55"/>
      <c r="E31" s="55"/>
      <c r="F31" s="55"/>
      <c r="G31" s="55"/>
    </row>
    <row r="32" spans="1:7" ht="19.5" customHeight="1" x14ac:dyDescent="0.25">
      <c r="A32" s="55"/>
      <c r="B32" s="84" t="s">
        <v>30</v>
      </c>
      <c r="C32" s="84"/>
      <c r="D32" s="55"/>
      <c r="E32" s="55"/>
      <c r="F32" s="55"/>
      <c r="G32" s="55"/>
    </row>
    <row r="33" spans="1:7" ht="18" customHeight="1" x14ac:dyDescent="0.25">
      <c r="A33" s="55"/>
      <c r="B33" s="62"/>
      <c r="C33" s="80" t="s">
        <v>31</v>
      </c>
      <c r="D33" s="80"/>
      <c r="E33" s="55"/>
      <c r="F33" s="55"/>
      <c r="G33" s="55"/>
    </row>
    <row r="34" spans="1:7" ht="18" customHeight="1" x14ac:dyDescent="0.25">
      <c r="A34" s="55"/>
      <c r="B34" s="63"/>
      <c r="C34" s="80" t="s">
        <v>32</v>
      </c>
      <c r="D34" s="80"/>
      <c r="E34" s="55"/>
      <c r="F34" s="55"/>
      <c r="G34" s="55"/>
    </row>
    <row r="35" spans="1:7" ht="18" customHeight="1" x14ac:dyDescent="0.25">
      <c r="A35" s="55"/>
      <c r="B35" s="63"/>
      <c r="C35" s="80" t="s">
        <v>33</v>
      </c>
      <c r="D35" s="80"/>
      <c r="E35" s="55"/>
      <c r="F35" s="55"/>
      <c r="G35" s="55"/>
    </row>
    <row r="36" spans="1:7" ht="18" customHeight="1" x14ac:dyDescent="0.25">
      <c r="A36" s="55"/>
      <c r="B36" s="64"/>
      <c r="C36" s="80" t="s">
        <v>34</v>
      </c>
      <c r="D36" s="80"/>
      <c r="E36" s="55"/>
      <c r="F36" s="55"/>
      <c r="G36" s="55"/>
    </row>
    <row r="37" spans="1:7" ht="18" customHeight="1" x14ac:dyDescent="0.25">
      <c r="A37" s="55"/>
      <c r="B37" s="65"/>
      <c r="C37" s="80" t="s">
        <v>35</v>
      </c>
      <c r="D37" s="80"/>
      <c r="E37" s="55"/>
      <c r="F37" s="55"/>
      <c r="G37" s="55"/>
    </row>
    <row r="38" spans="1:7" ht="18" customHeight="1" x14ac:dyDescent="0.25">
      <c r="A38" s="55"/>
      <c r="B38" s="55"/>
      <c r="C38" s="55"/>
      <c r="D38" s="55"/>
      <c r="E38" s="55"/>
      <c r="F38" s="55"/>
      <c r="G38" s="55"/>
    </row>
    <row r="39" spans="1:7" ht="19.5" customHeight="1" x14ac:dyDescent="0.25">
      <c r="A39" s="55"/>
      <c r="B39" s="82" t="s">
        <v>36</v>
      </c>
      <c r="C39" s="82"/>
      <c r="D39" s="55"/>
      <c r="E39" s="55"/>
      <c r="F39" s="55"/>
      <c r="G39" s="55"/>
    </row>
    <row r="40" spans="1:7" ht="30.75" customHeight="1" x14ac:dyDescent="0.25">
      <c r="A40" s="55"/>
      <c r="B40" s="66" t="s">
        <v>37</v>
      </c>
      <c r="C40" s="80" t="s">
        <v>38</v>
      </c>
      <c r="D40" s="80"/>
      <c r="E40" s="55"/>
      <c r="F40" s="55"/>
      <c r="G40" s="55"/>
    </row>
    <row r="41" spans="1:7" ht="35.25" customHeight="1" x14ac:dyDescent="0.25">
      <c r="A41" s="55"/>
      <c r="B41" s="66" t="s">
        <v>37</v>
      </c>
      <c r="C41" s="80" t="s">
        <v>39</v>
      </c>
      <c r="D41" s="80"/>
      <c r="E41" s="55"/>
      <c r="F41" s="55"/>
      <c r="G41" s="55"/>
    </row>
    <row r="42" spans="1:7" ht="40.5" customHeight="1" x14ac:dyDescent="0.25">
      <c r="A42" s="55"/>
      <c r="B42" s="66" t="s">
        <v>37</v>
      </c>
      <c r="C42" s="80" t="s">
        <v>40</v>
      </c>
      <c r="D42" s="80"/>
      <c r="E42" s="55"/>
      <c r="F42" s="55"/>
      <c r="G42" s="55"/>
    </row>
    <row r="43" spans="1:7" ht="16.5" customHeight="1" x14ac:dyDescent="0.25">
      <c r="A43" s="55"/>
      <c r="B43" s="66" t="s">
        <v>37</v>
      </c>
      <c r="C43" s="80" t="s">
        <v>41</v>
      </c>
      <c r="D43" s="80"/>
      <c r="E43" s="55"/>
      <c r="F43" s="55"/>
      <c r="G43" s="55"/>
    </row>
    <row r="44" spans="1:7" ht="28.5" customHeight="1" x14ac:dyDescent="0.25">
      <c r="A44" s="55"/>
      <c r="B44" s="66" t="s">
        <v>37</v>
      </c>
      <c r="C44" s="80" t="s">
        <v>42</v>
      </c>
      <c r="D44" s="80"/>
      <c r="E44" s="55"/>
      <c r="F44" s="55"/>
      <c r="G44" s="55"/>
    </row>
    <row r="45" spans="1:7" ht="32.25" customHeight="1" x14ac:dyDescent="0.25">
      <c r="A45" s="55"/>
      <c r="B45" s="66" t="s">
        <v>37</v>
      </c>
      <c r="C45" s="80" t="s">
        <v>43</v>
      </c>
      <c r="D45" s="80"/>
      <c r="E45" s="55"/>
      <c r="F45" s="55"/>
      <c r="G45" s="55"/>
    </row>
    <row r="46" spans="1:7" ht="18" customHeight="1" x14ac:dyDescent="0.25">
      <c r="A46" s="55"/>
      <c r="B46" s="55"/>
      <c r="C46" s="55"/>
      <c r="D46" s="55"/>
      <c r="E46" s="55"/>
      <c r="F46" s="55"/>
      <c r="G46" s="55"/>
    </row>
    <row r="47" spans="1:7" ht="18" customHeight="1" x14ac:dyDescent="0.25">
      <c r="A47" s="55"/>
      <c r="B47" s="55"/>
      <c r="C47" s="55"/>
      <c r="D47" s="55"/>
      <c r="E47" s="55"/>
      <c r="F47" s="55"/>
      <c r="G47" s="55"/>
    </row>
    <row r="48" spans="1:7" ht="18" customHeight="1" x14ac:dyDescent="0.25">
      <c r="A48" s="55"/>
      <c r="B48" s="55"/>
      <c r="C48" s="55"/>
      <c r="D48" s="55"/>
      <c r="E48" s="55"/>
      <c r="F48" s="55"/>
      <c r="G48" s="55"/>
    </row>
    <row r="49" spans="1:7" ht="18" customHeight="1" x14ac:dyDescent="0.25">
      <c r="A49" s="55"/>
      <c r="B49" s="55"/>
      <c r="C49" s="55"/>
      <c r="D49" s="55"/>
      <c r="E49" s="55"/>
      <c r="F49" s="55"/>
      <c r="G49" s="55"/>
    </row>
    <row r="50" spans="1:7" ht="18" customHeight="1" x14ac:dyDescent="0.25">
      <c r="A50" s="55"/>
      <c r="B50" s="55"/>
      <c r="C50" s="55"/>
      <c r="D50" s="55"/>
      <c r="E50" s="55"/>
      <c r="F50" s="55"/>
      <c r="G50" s="55"/>
    </row>
    <row r="51" spans="1:7" ht="18" customHeight="1" x14ac:dyDescent="0.25">
      <c r="A51" s="55"/>
      <c r="B51" s="55"/>
      <c r="C51" s="55"/>
      <c r="D51" s="55"/>
      <c r="E51" s="55"/>
      <c r="F51" s="55"/>
      <c r="G51" s="55"/>
    </row>
    <row r="52" spans="1:7" ht="18" customHeight="1" x14ac:dyDescent="0.25">
      <c r="A52" s="55"/>
      <c r="B52" s="55"/>
      <c r="C52" s="55"/>
      <c r="D52" s="55"/>
      <c r="E52" s="55"/>
      <c r="F52" s="55"/>
      <c r="G52" s="55"/>
    </row>
    <row r="53" spans="1:7" ht="18" customHeight="1" x14ac:dyDescent="0.25">
      <c r="A53" s="55"/>
      <c r="B53" s="55"/>
      <c r="C53" s="55"/>
      <c r="D53" s="55"/>
      <c r="E53" s="55"/>
      <c r="F53" s="55"/>
      <c r="G53" s="55"/>
    </row>
    <row r="54" spans="1:7" ht="18" customHeight="1" x14ac:dyDescent="0.25">
      <c r="A54" s="55"/>
      <c r="B54" s="55"/>
      <c r="C54" s="55"/>
      <c r="D54" s="55"/>
      <c r="E54" s="55"/>
      <c r="F54" s="55"/>
      <c r="G54" s="55"/>
    </row>
    <row r="55" spans="1:7" ht="18" customHeight="1" x14ac:dyDescent="0.25">
      <c r="A55" s="55"/>
      <c r="B55" s="55"/>
      <c r="C55" s="55"/>
      <c r="D55" s="55"/>
      <c r="E55" s="55"/>
      <c r="F55" s="55"/>
      <c r="G55" s="55"/>
    </row>
    <row r="56" spans="1:7" ht="18" customHeight="1" x14ac:dyDescent="0.25">
      <c r="A56" s="55"/>
      <c r="B56" s="55"/>
      <c r="C56" s="55"/>
      <c r="D56" s="55"/>
      <c r="E56" s="55"/>
      <c r="F56" s="55"/>
      <c r="G56" s="55"/>
    </row>
    <row r="57" spans="1:7" ht="18" customHeight="1" x14ac:dyDescent="0.25">
      <c r="A57" s="55"/>
      <c r="B57" s="55"/>
      <c r="C57" s="55"/>
      <c r="D57" s="55"/>
      <c r="E57" s="55"/>
      <c r="F57" s="55"/>
      <c r="G57" s="55"/>
    </row>
    <row r="58" spans="1:7" ht="15.75" customHeight="1" x14ac:dyDescent="0.25">
      <c r="A58" s="55"/>
      <c r="B58" s="81" t="s">
        <v>44</v>
      </c>
      <c r="C58" s="81"/>
      <c r="D58" s="55"/>
      <c r="E58" s="55"/>
      <c r="F58" s="55"/>
      <c r="G58" s="55"/>
    </row>
    <row r="59" spans="1:7" ht="18" customHeight="1" x14ac:dyDescent="0.25">
      <c r="A59" s="55"/>
      <c r="B59" s="55"/>
      <c r="C59" s="55"/>
      <c r="D59" s="55"/>
      <c r="E59" s="55"/>
      <c r="F59" s="55"/>
      <c r="G59" s="55"/>
    </row>
  </sheetData>
  <sheetProtection algorithmName="SHA-512" hashValue="miURl3IPDYf1Rw98xyTJLpFZFzINRcxuEvctxVLrhzbtCSJnDHUrwp1HV99PJn8aSXXrTWp/oWOm03hTqq//Iw==" saltValue="VLqQfYtSTvCzm6I4JCTbcA==" spinCount="100000" sheet="1" objects="1" scenarios="1"/>
  <mergeCells count="20">
    <mergeCell ref="B2:C3"/>
    <mergeCell ref="B4:C5"/>
    <mergeCell ref="B8:C9"/>
    <mergeCell ref="B10:C10"/>
    <mergeCell ref="B11:C11"/>
    <mergeCell ref="B22:C22"/>
    <mergeCell ref="B32:C32"/>
    <mergeCell ref="C33:D33"/>
    <mergeCell ref="C34:D34"/>
    <mergeCell ref="C35:D35"/>
    <mergeCell ref="C36:D36"/>
    <mergeCell ref="C37:D37"/>
    <mergeCell ref="B39:C39"/>
    <mergeCell ref="C40:D40"/>
    <mergeCell ref="C41:D41"/>
    <mergeCell ref="C42:D42"/>
    <mergeCell ref="C43:D43"/>
    <mergeCell ref="C44:D44"/>
    <mergeCell ref="C45:D45"/>
    <mergeCell ref="B58:C58"/>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E86C1"/>
  </sheetPr>
  <dimension ref="A1:B34"/>
  <sheetViews>
    <sheetView zoomScaleNormal="100" workbookViewId="0">
      <selection activeCell="A13" sqref="A13:XFD13"/>
    </sheetView>
  </sheetViews>
  <sheetFormatPr defaultColWidth="8.7109375" defaultRowHeight="15" x14ac:dyDescent="0.25"/>
  <cols>
    <col min="1" max="1" width="6" style="1" customWidth="1"/>
    <col min="2" max="2" width="96" style="1" customWidth="1"/>
    <col min="3" max="16384" width="8.7109375" style="1"/>
  </cols>
  <sheetData>
    <row r="1" spans="1:2" ht="30" customHeight="1" x14ac:dyDescent="0.25">
      <c r="A1" s="76" t="s">
        <v>196</v>
      </c>
      <c r="B1" s="76"/>
    </row>
    <row r="3" spans="1:2" ht="19.5" customHeight="1" x14ac:dyDescent="0.25">
      <c r="A3" s="92" t="s">
        <v>197</v>
      </c>
      <c r="B3" s="92"/>
    </row>
    <row r="4" spans="1:2" ht="19.5" customHeight="1" x14ac:dyDescent="0.25">
      <c r="A4" s="78" t="s">
        <v>198</v>
      </c>
      <c r="B4" s="78"/>
    </row>
    <row r="5" spans="1:2" ht="33.75" customHeight="1" x14ac:dyDescent="0.25">
      <c r="A5" s="90" t="s">
        <v>199</v>
      </c>
      <c r="B5" s="90"/>
    </row>
    <row r="6" spans="1:2" ht="19.5" customHeight="1" x14ac:dyDescent="0.25">
      <c r="A6" s="78" t="s">
        <v>200</v>
      </c>
      <c r="B6" s="78"/>
    </row>
    <row r="7" spans="1:2" ht="33.75" customHeight="1" x14ac:dyDescent="0.25">
      <c r="A7" s="90" t="s">
        <v>201</v>
      </c>
      <c r="B7" s="90"/>
    </row>
    <row r="8" spans="1:2" ht="19.5" customHeight="1" x14ac:dyDescent="0.25">
      <c r="A8" s="78" t="s">
        <v>202</v>
      </c>
      <c r="B8" s="78"/>
    </row>
    <row r="9" spans="1:2" ht="33.75" customHeight="1" x14ac:dyDescent="0.25">
      <c r="A9" s="90" t="s">
        <v>203</v>
      </c>
      <c r="B9" s="90"/>
    </row>
    <row r="10" spans="1:2" ht="19.5" customHeight="1" x14ac:dyDescent="0.25">
      <c r="A10" s="78" t="s">
        <v>204</v>
      </c>
      <c r="B10" s="78"/>
    </row>
    <row r="11" spans="1:2" ht="42" customHeight="1" x14ac:dyDescent="0.25">
      <c r="A11" s="90" t="s">
        <v>205</v>
      </c>
      <c r="B11" s="90"/>
    </row>
    <row r="12" spans="1:2" ht="19.5" customHeight="1" x14ac:dyDescent="0.25">
      <c r="A12" s="78" t="s">
        <v>206</v>
      </c>
      <c r="B12" s="78"/>
    </row>
    <row r="13" spans="1:2" ht="40.5" customHeight="1" x14ac:dyDescent="0.25">
      <c r="A13" s="90" t="s">
        <v>207</v>
      </c>
      <c r="B13" s="90"/>
    </row>
    <row r="14" spans="1:2" ht="19.5" customHeight="1" x14ac:dyDescent="0.25">
      <c r="A14" s="78" t="s">
        <v>208</v>
      </c>
      <c r="B14" s="78"/>
    </row>
    <row r="15" spans="1:2" ht="33.75" customHeight="1" x14ac:dyDescent="0.25">
      <c r="A15" s="90" t="s">
        <v>209</v>
      </c>
      <c r="B15" s="90"/>
    </row>
    <row r="17" spans="1:2" ht="19.5" customHeight="1" x14ac:dyDescent="0.25">
      <c r="A17" s="92" t="s">
        <v>210</v>
      </c>
      <c r="B17" s="92"/>
    </row>
    <row r="18" spans="1:2" ht="33.75" customHeight="1" x14ac:dyDescent="0.25">
      <c r="A18" s="90" t="s">
        <v>211</v>
      </c>
      <c r="B18" s="90"/>
    </row>
    <row r="19" spans="1:2" ht="33.75" customHeight="1" x14ac:dyDescent="0.25">
      <c r="A19" s="90" t="s">
        <v>212</v>
      </c>
      <c r="B19" s="90"/>
    </row>
    <row r="20" spans="1:2" ht="33.75" customHeight="1" x14ac:dyDescent="0.25">
      <c r="A20" s="90" t="s">
        <v>213</v>
      </c>
      <c r="B20" s="90"/>
    </row>
    <row r="21" spans="1:2" ht="33.75" customHeight="1" x14ac:dyDescent="0.25">
      <c r="A21" s="90" t="s">
        <v>214</v>
      </c>
      <c r="B21" s="90"/>
    </row>
    <row r="22" spans="1:2" ht="33.75" customHeight="1" x14ac:dyDescent="0.25">
      <c r="A22" s="90" t="s">
        <v>215</v>
      </c>
      <c r="B22" s="90"/>
    </row>
    <row r="23" spans="1:2" ht="33.75" customHeight="1" x14ac:dyDescent="0.25">
      <c r="A23" s="90" t="s">
        <v>216</v>
      </c>
      <c r="B23" s="90"/>
    </row>
    <row r="25" spans="1:2" ht="19.5" customHeight="1" x14ac:dyDescent="0.25">
      <c r="A25" s="92" t="s">
        <v>217</v>
      </c>
      <c r="B25" s="92"/>
    </row>
    <row r="26" spans="1:2" ht="33.75" customHeight="1" x14ac:dyDescent="0.25">
      <c r="A26" s="90" t="s">
        <v>218</v>
      </c>
      <c r="B26" s="90"/>
    </row>
    <row r="28" spans="1:2" ht="19.5" customHeight="1" x14ac:dyDescent="0.25">
      <c r="A28" s="92" t="s">
        <v>219</v>
      </c>
      <c r="B28" s="92"/>
    </row>
    <row r="29" spans="1:2" ht="33.75" customHeight="1" x14ac:dyDescent="0.25">
      <c r="A29" s="90" t="s">
        <v>220</v>
      </c>
      <c r="B29" s="90"/>
    </row>
    <row r="30" spans="1:2" ht="33.75" customHeight="1" x14ac:dyDescent="0.25">
      <c r="A30" s="90" t="s">
        <v>221</v>
      </c>
      <c r="B30" s="90"/>
    </row>
    <row r="31" spans="1:2" ht="33.75" customHeight="1" x14ac:dyDescent="0.25">
      <c r="A31" s="90" t="s">
        <v>222</v>
      </c>
      <c r="B31" s="90"/>
    </row>
    <row r="32" spans="1:2" ht="33.75" customHeight="1" x14ac:dyDescent="0.25">
      <c r="A32" s="90" t="s">
        <v>223</v>
      </c>
      <c r="B32" s="90"/>
    </row>
    <row r="34" spans="1:2" ht="15.75" customHeight="1" x14ac:dyDescent="0.25">
      <c r="A34" s="91" t="s">
        <v>224</v>
      </c>
      <c r="B34" s="91"/>
    </row>
  </sheetData>
  <mergeCells count="29">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7:B17"/>
    <mergeCell ref="A18:B18"/>
    <mergeCell ref="A19:B19"/>
    <mergeCell ref="A20:B20"/>
    <mergeCell ref="A21:B21"/>
    <mergeCell ref="A22:B22"/>
    <mergeCell ref="A30:B30"/>
    <mergeCell ref="A31:B31"/>
    <mergeCell ref="A32:B32"/>
    <mergeCell ref="A34:B34"/>
    <mergeCell ref="A23:B23"/>
    <mergeCell ref="A25:B25"/>
    <mergeCell ref="A26:B26"/>
    <mergeCell ref="A28:B28"/>
    <mergeCell ref="A29:B29"/>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C3483"/>
  </sheetPr>
  <dimension ref="A1:C31"/>
  <sheetViews>
    <sheetView zoomScaleNormal="100" workbookViewId="0">
      <pane ySplit="2" topLeftCell="A3" activePane="bottomLeft" state="frozen"/>
      <selection pane="bottomLeft" sqref="A1:XFD1048576"/>
    </sheetView>
  </sheetViews>
  <sheetFormatPr defaultColWidth="8.7109375" defaultRowHeight="15" x14ac:dyDescent="0.25"/>
  <cols>
    <col min="1" max="1" width="38" style="1" customWidth="1"/>
    <col min="2" max="2" width="16" style="1" customWidth="1"/>
    <col min="3" max="3" width="40" style="1" customWidth="1"/>
    <col min="4" max="16384" width="8.7109375" style="1"/>
  </cols>
  <sheetData>
    <row r="1" spans="1:3" ht="30" customHeight="1" x14ac:dyDescent="0.25">
      <c r="A1" s="76" t="s">
        <v>45</v>
      </c>
      <c r="B1" s="76"/>
      <c r="C1" s="76"/>
    </row>
    <row r="2" spans="1:3" ht="15" customHeight="1" x14ac:dyDescent="0.25">
      <c r="A2" s="77" t="s">
        <v>46</v>
      </c>
      <c r="B2" s="77"/>
      <c r="C2" s="77"/>
    </row>
    <row r="3" spans="1:3" ht="21.75" customHeight="1" x14ac:dyDescent="0.25">
      <c r="A3" s="78" t="s">
        <v>47</v>
      </c>
      <c r="B3" s="78"/>
      <c r="C3" s="78"/>
    </row>
    <row r="4" spans="1:3" ht="19.5" customHeight="1" x14ac:dyDescent="0.25">
      <c r="A4" s="2" t="s">
        <v>48</v>
      </c>
      <c r="B4" s="2" t="s">
        <v>49</v>
      </c>
      <c r="C4" s="2" t="s">
        <v>50</v>
      </c>
    </row>
    <row r="5" spans="1:3" ht="15" customHeight="1" x14ac:dyDescent="0.25">
      <c r="A5" s="3" t="s">
        <v>51</v>
      </c>
      <c r="B5" s="4">
        <v>0.25169999999999998</v>
      </c>
      <c r="C5" s="5" t="s">
        <v>52</v>
      </c>
    </row>
    <row r="6" spans="1:3" ht="15" customHeight="1" x14ac:dyDescent="0.25">
      <c r="A6" s="3" t="s">
        <v>53</v>
      </c>
      <c r="B6" s="6">
        <v>26</v>
      </c>
      <c r="C6" s="5" t="s">
        <v>54</v>
      </c>
    </row>
    <row r="7" spans="1:3" ht="15" customHeight="1" x14ac:dyDescent="0.25">
      <c r="A7" s="3" t="s">
        <v>55</v>
      </c>
      <c r="B7" s="6">
        <v>0</v>
      </c>
      <c r="C7" s="5" t="s">
        <v>56</v>
      </c>
    </row>
    <row r="9" spans="1:3" ht="21.75" customHeight="1" x14ac:dyDescent="0.25">
      <c r="A9" s="70" t="s">
        <v>57</v>
      </c>
      <c r="B9" s="70"/>
      <c r="C9" s="70"/>
    </row>
    <row r="10" spans="1:3" ht="19.5" customHeight="1" x14ac:dyDescent="0.25">
      <c r="A10" s="2" t="s">
        <v>48</v>
      </c>
      <c r="B10" s="2" t="s">
        <v>49</v>
      </c>
      <c r="C10" s="2" t="s">
        <v>50</v>
      </c>
    </row>
    <row r="11" spans="1:3" ht="15" customHeight="1" x14ac:dyDescent="0.25">
      <c r="A11" s="3" t="s">
        <v>58</v>
      </c>
      <c r="B11" s="7">
        <v>0.35</v>
      </c>
      <c r="C11" s="5" t="s">
        <v>59</v>
      </c>
    </row>
    <row r="12" spans="1:3" ht="15" customHeight="1" x14ac:dyDescent="0.25">
      <c r="A12" s="3" t="s">
        <v>60</v>
      </c>
      <c r="B12" s="7">
        <v>0.6</v>
      </c>
      <c r="C12" s="5" t="s">
        <v>61</v>
      </c>
    </row>
    <row r="13" spans="1:3" ht="15" customHeight="1" x14ac:dyDescent="0.25">
      <c r="A13" s="3" t="s">
        <v>62</v>
      </c>
      <c r="B13" s="6">
        <v>80</v>
      </c>
      <c r="C13" s="5" t="s">
        <v>63</v>
      </c>
    </row>
    <row r="14" spans="1:3" ht="15" customHeight="1" x14ac:dyDescent="0.25">
      <c r="A14" s="3" t="s">
        <v>64</v>
      </c>
      <c r="B14" s="6">
        <v>200000</v>
      </c>
      <c r="C14" s="5" t="s">
        <v>65</v>
      </c>
    </row>
    <row r="16" spans="1:3" ht="21.75" customHeight="1" x14ac:dyDescent="0.25">
      <c r="A16" s="78" t="s">
        <v>66</v>
      </c>
      <c r="B16" s="78"/>
      <c r="C16" s="78"/>
    </row>
    <row r="17" spans="1:3" ht="19.5" customHeight="1" x14ac:dyDescent="0.25">
      <c r="A17" s="2" t="s">
        <v>48</v>
      </c>
      <c r="B17" s="2" t="s">
        <v>49</v>
      </c>
      <c r="C17" s="2" t="s">
        <v>50</v>
      </c>
    </row>
    <row r="18" spans="1:3" ht="21.75" customHeight="1" x14ac:dyDescent="0.25">
      <c r="A18" s="3" t="s">
        <v>67</v>
      </c>
      <c r="B18" s="6">
        <v>650</v>
      </c>
      <c r="C18" s="5" t="s">
        <v>68</v>
      </c>
    </row>
    <row r="19" spans="1:3" ht="21.75" customHeight="1" x14ac:dyDescent="0.25">
      <c r="A19" s="3" t="s">
        <v>69</v>
      </c>
      <c r="B19" s="7">
        <v>0.1</v>
      </c>
      <c r="C19" s="5" t="s">
        <v>70</v>
      </c>
    </row>
    <row r="20" spans="1:3" ht="18.75" customHeight="1" x14ac:dyDescent="0.25">
      <c r="A20" s="3" t="s">
        <v>71</v>
      </c>
      <c r="B20" s="7">
        <v>0.05</v>
      </c>
      <c r="C20" s="5" t="s">
        <v>72</v>
      </c>
    </row>
    <row r="21" spans="1:3" ht="21.75" customHeight="1" x14ac:dyDescent="0.25">
      <c r="A21" s="3" t="s">
        <v>73</v>
      </c>
      <c r="B21" s="7">
        <v>1.4999999999999999E-2</v>
      </c>
      <c r="C21" s="5" t="s">
        <v>74</v>
      </c>
    </row>
    <row r="23" spans="1:3" ht="21.75" customHeight="1" x14ac:dyDescent="0.25">
      <c r="A23" s="78" t="s">
        <v>75</v>
      </c>
      <c r="B23" s="78"/>
      <c r="C23" s="78"/>
    </row>
    <row r="24" spans="1:3" ht="19.5" customHeight="1" x14ac:dyDescent="0.25">
      <c r="A24" s="2" t="s">
        <v>76</v>
      </c>
      <c r="B24" s="2" t="s">
        <v>77</v>
      </c>
      <c r="C24" s="2" t="s">
        <v>78</v>
      </c>
    </row>
    <row r="25" spans="1:3" ht="15" customHeight="1" x14ac:dyDescent="0.25">
      <c r="A25" s="3" t="s">
        <v>79</v>
      </c>
      <c r="B25" s="8">
        <v>0</v>
      </c>
      <c r="C25" s="5" t="s">
        <v>80</v>
      </c>
    </row>
    <row r="26" spans="1:3" ht="15" customHeight="1" x14ac:dyDescent="0.25">
      <c r="A26" s="3" t="s">
        <v>81</v>
      </c>
      <c r="B26" s="8">
        <v>0.05</v>
      </c>
      <c r="C26" s="5" t="s">
        <v>82</v>
      </c>
    </row>
    <row r="27" spans="1:3" ht="15" customHeight="1" x14ac:dyDescent="0.25">
      <c r="A27" s="3" t="s">
        <v>83</v>
      </c>
      <c r="B27" s="8">
        <v>0.12</v>
      </c>
      <c r="C27" s="5" t="s">
        <v>84</v>
      </c>
    </row>
    <row r="28" spans="1:3" ht="15" customHeight="1" x14ac:dyDescent="0.25">
      <c r="A28" s="3" t="s">
        <v>85</v>
      </c>
      <c r="B28" s="8">
        <v>0.18</v>
      </c>
      <c r="C28" s="5" t="s">
        <v>86</v>
      </c>
    </row>
    <row r="29" spans="1:3" ht="15" customHeight="1" x14ac:dyDescent="0.25">
      <c r="A29" s="3" t="s">
        <v>87</v>
      </c>
      <c r="B29" s="8">
        <v>0.28000000000000003</v>
      </c>
      <c r="C29" s="5" t="s">
        <v>88</v>
      </c>
    </row>
    <row r="31" spans="1:3" ht="15" customHeight="1" x14ac:dyDescent="0.25">
      <c r="A31" s="79" t="s">
        <v>89</v>
      </c>
      <c r="B31" s="79"/>
      <c r="C31" s="79"/>
    </row>
  </sheetData>
  <mergeCells count="7">
    <mergeCell ref="A23:C23"/>
    <mergeCell ref="A31:C31"/>
    <mergeCell ref="A1:C1"/>
    <mergeCell ref="A2:C2"/>
    <mergeCell ref="A3:C3"/>
    <mergeCell ref="A9:C9"/>
    <mergeCell ref="A16:C16"/>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17A65"/>
  </sheetPr>
  <dimension ref="A1:H11"/>
  <sheetViews>
    <sheetView zoomScaleNormal="100" workbookViewId="0">
      <pane xSplit="1" ySplit="3" topLeftCell="B4" activePane="bottomRight" state="frozen"/>
      <selection pane="topRight" activeCell="B1" sqref="B1"/>
      <selection pane="bottomLeft" activeCell="A4" sqref="A4"/>
      <selection pane="bottomRight" activeCell="A3" sqref="A3:XFD3"/>
    </sheetView>
  </sheetViews>
  <sheetFormatPr defaultColWidth="8.7109375" defaultRowHeight="15" x14ac:dyDescent="0.25"/>
  <cols>
    <col min="1" max="1" width="4" style="1" customWidth="1"/>
    <col min="2" max="2" width="22" style="1" customWidth="1"/>
    <col min="3" max="5" width="14" style="1" customWidth="1"/>
    <col min="6" max="6" width="12" style="1" customWidth="1"/>
    <col min="7" max="8" width="14" style="1" customWidth="1"/>
    <col min="9" max="16384" width="8.7109375" style="1"/>
  </cols>
  <sheetData>
    <row r="1" spans="1:8" ht="30" customHeight="1" x14ac:dyDescent="0.25">
      <c r="A1" s="76" t="s">
        <v>90</v>
      </c>
      <c r="B1" s="76"/>
      <c r="C1" s="76"/>
      <c r="D1" s="76"/>
      <c r="E1" s="76"/>
      <c r="F1" s="76"/>
      <c r="G1" s="76"/>
      <c r="H1" s="76"/>
    </row>
    <row r="2" spans="1:8" ht="24" customHeight="1" x14ac:dyDescent="0.25">
      <c r="A2" s="77" t="s">
        <v>91</v>
      </c>
      <c r="B2" s="77"/>
      <c r="C2" s="77"/>
      <c r="D2" s="77"/>
      <c r="E2" s="77"/>
      <c r="F2" s="77"/>
      <c r="G2" s="77"/>
      <c r="H2" s="77"/>
    </row>
    <row r="3" spans="1:8" ht="46.5" customHeight="1" x14ac:dyDescent="0.25">
      <c r="A3" s="2" t="s">
        <v>92</v>
      </c>
      <c r="B3" s="2" t="s">
        <v>93</v>
      </c>
      <c r="C3" s="2" t="s">
        <v>94</v>
      </c>
      <c r="D3" s="2" t="s">
        <v>95</v>
      </c>
      <c r="E3" s="2" t="s">
        <v>96</v>
      </c>
      <c r="F3" s="2" t="s">
        <v>97</v>
      </c>
      <c r="G3" s="2" t="s">
        <v>98</v>
      </c>
      <c r="H3" s="2" t="s">
        <v>99</v>
      </c>
    </row>
    <row r="4" spans="1:8" ht="19.5" customHeight="1" x14ac:dyDescent="0.25">
      <c r="A4" s="9">
        <v>1</v>
      </c>
      <c r="B4" s="10" t="s">
        <v>100</v>
      </c>
      <c r="C4" s="6">
        <v>380</v>
      </c>
      <c r="D4" s="6">
        <v>145000</v>
      </c>
      <c r="E4" s="6">
        <v>3200</v>
      </c>
      <c r="F4" s="11">
        <v>0.18</v>
      </c>
      <c r="G4" s="12">
        <f>IFERROR(D4/E4,0)</f>
        <v>45.3125</v>
      </c>
      <c r="H4" s="12">
        <f>C4+G4</f>
        <v>425.3125</v>
      </c>
    </row>
    <row r="5" spans="1:8" ht="19.5" customHeight="1" x14ac:dyDescent="0.25">
      <c r="A5" s="9">
        <v>2</v>
      </c>
      <c r="B5" s="10" t="s">
        <v>101</v>
      </c>
      <c r="C5" s="6">
        <v>210</v>
      </c>
      <c r="D5" s="6">
        <v>72000</v>
      </c>
      <c r="E5" s="6">
        <v>5500</v>
      </c>
      <c r="F5" s="11">
        <v>0.12</v>
      </c>
      <c r="G5" s="12">
        <f>IFERROR(D5/E5,0)</f>
        <v>13.090909090909092</v>
      </c>
      <c r="H5" s="12">
        <f>C5+G5</f>
        <v>223.09090909090909</v>
      </c>
    </row>
    <row r="6" spans="1:8" ht="19.5" customHeight="1" x14ac:dyDescent="0.25">
      <c r="A6" s="9">
        <v>3</v>
      </c>
      <c r="B6" s="10" t="s">
        <v>102</v>
      </c>
      <c r="C6" s="6">
        <v>680</v>
      </c>
      <c r="D6" s="6">
        <v>220000</v>
      </c>
      <c r="E6" s="6">
        <v>1800</v>
      </c>
      <c r="F6" s="11">
        <v>0.18</v>
      </c>
      <c r="G6" s="12">
        <f>IFERROR(D6/E6,0)</f>
        <v>122.22222222222223</v>
      </c>
      <c r="H6" s="12">
        <f>C6+G6</f>
        <v>802.22222222222217</v>
      </c>
    </row>
    <row r="7" spans="1:8" ht="19.5" customHeight="1" x14ac:dyDescent="0.25">
      <c r="A7" s="9">
        <v>4</v>
      </c>
      <c r="B7" s="10" t="s">
        <v>103</v>
      </c>
      <c r="C7" s="6">
        <v>450</v>
      </c>
      <c r="D7" s="6">
        <v>60000</v>
      </c>
      <c r="E7" s="6">
        <v>2400</v>
      </c>
      <c r="F7" s="11">
        <v>0.18</v>
      </c>
      <c r="G7" s="12">
        <f>IFERROR(D7/E7,0)</f>
        <v>25</v>
      </c>
      <c r="H7" s="12">
        <f>C7+G7</f>
        <v>475</v>
      </c>
    </row>
    <row r="8" spans="1:8" ht="19.5" customHeight="1" x14ac:dyDescent="0.25">
      <c r="A8" s="9">
        <v>5</v>
      </c>
      <c r="B8" s="10" t="s">
        <v>104</v>
      </c>
      <c r="C8" s="6">
        <v>145</v>
      </c>
      <c r="D8" s="6">
        <v>38000</v>
      </c>
      <c r="E8" s="6">
        <v>9000</v>
      </c>
      <c r="F8" s="11">
        <v>0.05</v>
      </c>
      <c r="G8" s="12">
        <f>IFERROR(D8/E8,0)</f>
        <v>4.2222222222222223</v>
      </c>
      <c r="H8" s="12">
        <f>C8+G8</f>
        <v>149.22222222222223</v>
      </c>
    </row>
    <row r="9" spans="1:8" ht="19.5" customHeight="1" x14ac:dyDescent="0.25">
      <c r="A9" s="13"/>
      <c r="B9" s="14" t="s">
        <v>105</v>
      </c>
      <c r="C9" s="15"/>
      <c r="D9" s="16">
        <f>SUM(D4:D8)</f>
        <v>535000</v>
      </c>
      <c r="E9" s="16">
        <f>SUM(E4:E8)</f>
        <v>21900</v>
      </c>
      <c r="F9" s="15"/>
      <c r="G9" s="17"/>
      <c r="H9" s="17"/>
    </row>
    <row r="11" spans="1:8" ht="36" customHeight="1" x14ac:dyDescent="0.25">
      <c r="A11" s="79" t="s">
        <v>106</v>
      </c>
      <c r="B11" s="79"/>
      <c r="C11" s="79"/>
      <c r="D11" s="79"/>
      <c r="E11" s="79"/>
      <c r="F11" s="79"/>
      <c r="G11" s="79"/>
      <c r="H11" s="79"/>
    </row>
  </sheetData>
  <mergeCells count="3">
    <mergeCell ref="A1:H1"/>
    <mergeCell ref="A2:H2"/>
    <mergeCell ref="A11:H11"/>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4AC0D"/>
  </sheetPr>
  <dimension ref="A1:F33"/>
  <sheetViews>
    <sheetView zoomScaleNormal="100" workbookViewId="0">
      <pane xSplit="1" ySplit="3" topLeftCell="B13" activePane="bottomRight" state="frozen"/>
      <selection pane="topRight" activeCell="B1" sqref="B1"/>
      <selection pane="bottomLeft" activeCell="A4" sqref="A4"/>
      <selection pane="bottomRight" sqref="A1:XFD1048576"/>
    </sheetView>
  </sheetViews>
  <sheetFormatPr defaultColWidth="8.7109375" defaultRowHeight="15" x14ac:dyDescent="0.25"/>
  <cols>
    <col min="1" max="1" width="34" style="1" customWidth="1"/>
    <col min="2" max="6" width="14" style="1" customWidth="1"/>
    <col min="7" max="16384" width="8.7109375" style="1"/>
  </cols>
  <sheetData>
    <row r="1" spans="1:6" ht="30" customHeight="1" x14ac:dyDescent="0.25">
      <c r="A1" s="76" t="s">
        <v>107</v>
      </c>
      <c r="B1" s="76"/>
      <c r="C1" s="76"/>
      <c r="D1" s="76"/>
      <c r="E1" s="76"/>
      <c r="F1" s="76"/>
    </row>
    <row r="2" spans="1:6" ht="15" customHeight="1" x14ac:dyDescent="0.25">
      <c r="A2" s="77" t="s">
        <v>108</v>
      </c>
      <c r="B2" s="77"/>
      <c r="C2" s="77"/>
      <c r="D2" s="77"/>
      <c r="E2" s="77"/>
      <c r="F2" s="77"/>
    </row>
    <row r="3" spans="1:6" ht="21.75" customHeight="1" x14ac:dyDescent="0.25">
      <c r="A3" s="78" t="s">
        <v>109</v>
      </c>
      <c r="B3" s="78"/>
      <c r="C3" s="78"/>
      <c r="D3" s="78"/>
      <c r="E3" s="78"/>
      <c r="F3" s="78"/>
    </row>
    <row r="4" spans="1:6" ht="21.75" customHeight="1" x14ac:dyDescent="0.25">
      <c r="A4" s="2"/>
      <c r="B4" s="2" t="s">
        <v>100</v>
      </c>
      <c r="C4" s="2" t="s">
        <v>101</v>
      </c>
      <c r="D4" s="2" t="s">
        <v>102</v>
      </c>
      <c r="E4" s="2" t="s">
        <v>103</v>
      </c>
      <c r="F4" s="2" t="s">
        <v>104</v>
      </c>
    </row>
    <row r="5" spans="1:6" ht="15" customHeight="1" x14ac:dyDescent="0.25">
      <c r="A5" s="3" t="s">
        <v>110</v>
      </c>
      <c r="B5" s="18">
        <f>'📦 PRODUCT INPUTS'!C4</f>
        <v>380</v>
      </c>
      <c r="C5" s="18">
        <f>'📦 PRODUCT INPUTS'!C5</f>
        <v>210</v>
      </c>
      <c r="D5" s="18">
        <f>'📦 PRODUCT INPUTS'!C6</f>
        <v>680</v>
      </c>
      <c r="E5" s="18">
        <f>'📦 PRODUCT INPUTS'!C7</f>
        <v>450</v>
      </c>
      <c r="F5" s="18">
        <f>'📦 PRODUCT INPUTS'!C8</f>
        <v>145</v>
      </c>
    </row>
    <row r="6" spans="1:6" ht="15" customHeight="1" x14ac:dyDescent="0.25">
      <c r="A6" s="3" t="s">
        <v>111</v>
      </c>
      <c r="B6" s="18">
        <f>'📦 PRODUCT INPUTS'!G4</f>
        <v>45.3125</v>
      </c>
      <c r="C6" s="18">
        <f>'📦 PRODUCT INPUTS'!G5</f>
        <v>13.090909090909092</v>
      </c>
      <c r="D6" s="18">
        <f>'📦 PRODUCT INPUTS'!G6</f>
        <v>122.22222222222223</v>
      </c>
      <c r="E6" s="18">
        <f>'📦 PRODUCT INPUTS'!G7</f>
        <v>25</v>
      </c>
      <c r="F6" s="18">
        <f>'📦 PRODUCT INPUTS'!G8</f>
        <v>4.2222222222222223</v>
      </c>
    </row>
    <row r="7" spans="1:6" ht="15" customHeight="1" x14ac:dyDescent="0.25">
      <c r="A7" s="3" t="s">
        <v>112</v>
      </c>
      <c r="B7" s="12">
        <f>'📦 PRODUCT INPUTS'!H4</f>
        <v>425.3125</v>
      </c>
      <c r="C7" s="12">
        <f>'📦 PRODUCT INPUTS'!H5</f>
        <v>223.09090909090909</v>
      </c>
      <c r="D7" s="12">
        <f>'📦 PRODUCT INPUTS'!H6</f>
        <v>802.22222222222217</v>
      </c>
      <c r="E7" s="12">
        <f>'📦 PRODUCT INPUTS'!H7</f>
        <v>475</v>
      </c>
      <c r="F7" s="12">
        <f>'📦 PRODUCT INPUTS'!H8</f>
        <v>149.22222222222223</v>
      </c>
    </row>
    <row r="8" spans="1:6" ht="15" customHeight="1" x14ac:dyDescent="0.25">
      <c r="A8" s="3" t="s">
        <v>113</v>
      </c>
      <c r="B8" s="19">
        <f>'📦 PRODUCT INPUTS'!F4</f>
        <v>0.18</v>
      </c>
      <c r="C8" s="19">
        <f>'📦 PRODUCT INPUTS'!F5</f>
        <v>0.12</v>
      </c>
      <c r="D8" s="19">
        <f>'📦 PRODUCT INPUTS'!F6</f>
        <v>0.18</v>
      </c>
      <c r="E8" s="19">
        <f>'📦 PRODUCT INPUTS'!F7</f>
        <v>0.18</v>
      </c>
      <c r="F8" s="19">
        <f>'📦 PRODUCT INPUTS'!F8</f>
        <v>0.05</v>
      </c>
    </row>
    <row r="10" spans="1:6" ht="21.75" customHeight="1" x14ac:dyDescent="0.25">
      <c r="A10" s="71" t="s">
        <v>114</v>
      </c>
      <c r="B10" s="71"/>
      <c r="C10" s="71"/>
      <c r="D10" s="71"/>
      <c r="E10" s="71"/>
      <c r="F10" s="71"/>
    </row>
    <row r="11" spans="1:6" ht="15" customHeight="1" x14ac:dyDescent="0.25">
      <c r="A11" s="20" t="s">
        <v>115</v>
      </c>
      <c r="B11" s="21">
        <f>'⚙ SETUP'!$B$11</f>
        <v>0.35</v>
      </c>
      <c r="C11" s="21">
        <f>'⚙ SETUP'!$B$11</f>
        <v>0.35</v>
      </c>
      <c r="D11" s="21">
        <f>'⚙ SETUP'!$B$11</f>
        <v>0.35</v>
      </c>
      <c r="E11" s="21">
        <f>'⚙ SETUP'!$B$11</f>
        <v>0.35</v>
      </c>
      <c r="F11" s="21">
        <f>'⚙ SETUP'!$B$11</f>
        <v>0.35</v>
      </c>
    </row>
    <row r="12" spans="1:6" ht="15" customHeight="1" x14ac:dyDescent="0.25">
      <c r="A12" s="22" t="s">
        <v>116</v>
      </c>
      <c r="B12" s="79" t="s">
        <v>117</v>
      </c>
      <c r="C12" s="79"/>
      <c r="D12" s="79"/>
      <c r="E12" s="79"/>
      <c r="F12" s="79"/>
    </row>
    <row r="13" spans="1:6" ht="21.75" customHeight="1" x14ac:dyDescent="0.25">
      <c r="A13" s="23" t="s">
        <v>118</v>
      </c>
      <c r="B13" s="12">
        <f>IFERROR(B5/(1-'⚙ SETUP'!$B$11),"N/M")</f>
        <v>584.61538461538464</v>
      </c>
      <c r="C13" s="12">
        <f>IFERROR(C5/(1-'⚙ SETUP'!$B$11),"N/M")</f>
        <v>323.07692307692304</v>
      </c>
      <c r="D13" s="12">
        <f>IFERROR(D5/(1-'⚙ SETUP'!$B$11),"N/M")</f>
        <v>1046.1538461538462</v>
      </c>
      <c r="E13" s="12">
        <f>IFERROR(E5/(1-'⚙ SETUP'!$B$11),"N/M")</f>
        <v>692.30769230769226</v>
      </c>
      <c r="F13" s="12">
        <f>IFERROR(F5/(1-'⚙ SETUP'!$B$11),"N/M")</f>
        <v>223.07692307692307</v>
      </c>
    </row>
    <row r="14" spans="1:6" ht="15" customHeight="1" x14ac:dyDescent="0.25">
      <c r="A14" s="3" t="s">
        <v>119</v>
      </c>
      <c r="B14" s="18">
        <f>IFERROR(B13*(1+B8),"N/M")</f>
        <v>689.84615384615381</v>
      </c>
      <c r="C14" s="18">
        <f>IFERROR(C13*(1+C8),"N/M")</f>
        <v>361.84615384615381</v>
      </c>
      <c r="D14" s="18">
        <f>IFERROR(D13*(1+D8),"N/M")</f>
        <v>1234.4615384615383</v>
      </c>
      <c r="E14" s="18">
        <f>IFERROR(E13*(1+E8),"N/M")</f>
        <v>816.92307692307679</v>
      </c>
      <c r="F14" s="18">
        <f>IFERROR(F13*(1+F8),"N/M")</f>
        <v>234.23076923076923</v>
      </c>
    </row>
    <row r="15" spans="1:6" ht="15" customHeight="1" x14ac:dyDescent="0.25">
      <c r="A15" s="5" t="s">
        <v>120</v>
      </c>
      <c r="B15" s="24">
        <f>IFERROR((B13-B5)/B13,"N/M")</f>
        <v>0.35000000000000003</v>
      </c>
      <c r="C15" s="24">
        <f>IFERROR((C13-C5)/C13,"N/M")</f>
        <v>0.34999999999999992</v>
      </c>
      <c r="D15" s="24">
        <f>IFERROR((D13-D5)/D13,"N/M")</f>
        <v>0.35000000000000003</v>
      </c>
      <c r="E15" s="24">
        <f>IFERROR((E13-E5)/E13,"N/M")</f>
        <v>0.35</v>
      </c>
      <c r="F15" s="24">
        <f>IFERROR((F13-F5)/F13,"N/M")</f>
        <v>0.35</v>
      </c>
    </row>
    <row r="16" spans="1:6" ht="15" customHeight="1" x14ac:dyDescent="0.25">
      <c r="A16" s="5" t="s">
        <v>121</v>
      </c>
      <c r="B16" s="25">
        <f>IFERROR(ROUNDUP(B6*'📦 PRODUCT INPUTS'!E4/(B13-B5),0),"N/M")</f>
        <v>709</v>
      </c>
      <c r="C16" s="25">
        <f>IFERROR(ROUNDUP(C6*'📦 PRODUCT INPUTS'!E5/(C13-C5),0),"N/M")</f>
        <v>637</v>
      </c>
      <c r="D16" s="25">
        <f>IFERROR(ROUNDUP(D6*'📦 PRODUCT INPUTS'!E6/(D13-D5),0),"N/M")</f>
        <v>601</v>
      </c>
      <c r="E16" s="25">
        <f>IFERROR(ROUNDUP(E6*'📦 PRODUCT INPUTS'!E7/(E13-E5),0),"N/M")</f>
        <v>248</v>
      </c>
      <c r="F16" s="25">
        <f>IFERROR(ROUNDUP(F6*'📦 PRODUCT INPUTS'!E8/(F13-F5),0),"N/M")</f>
        <v>487</v>
      </c>
    </row>
    <row r="18" spans="1:6" ht="21.75" customHeight="1" x14ac:dyDescent="0.25">
      <c r="A18" s="70" t="s">
        <v>122</v>
      </c>
      <c r="B18" s="70"/>
      <c r="C18" s="70"/>
      <c r="D18" s="70"/>
      <c r="E18" s="70"/>
      <c r="F18" s="70"/>
    </row>
    <row r="19" spans="1:6" ht="15" customHeight="1" x14ac:dyDescent="0.25">
      <c r="A19" s="20" t="s">
        <v>123</v>
      </c>
      <c r="B19" s="21">
        <f>'⚙ SETUP'!$B$12</f>
        <v>0.6</v>
      </c>
      <c r="C19" s="21">
        <f>'⚙ SETUP'!$B$12</f>
        <v>0.6</v>
      </c>
      <c r="D19" s="21">
        <f>'⚙ SETUP'!$B$12</f>
        <v>0.6</v>
      </c>
      <c r="E19" s="21">
        <f>'⚙ SETUP'!$B$12</f>
        <v>0.6</v>
      </c>
      <c r="F19" s="21">
        <f>'⚙ SETUP'!$B$12</f>
        <v>0.6</v>
      </c>
    </row>
    <row r="20" spans="1:6" ht="15" customHeight="1" x14ac:dyDescent="0.25">
      <c r="A20" s="23" t="s">
        <v>124</v>
      </c>
      <c r="B20" s="12">
        <f>IFERROR(B5*(1+'⚙ SETUP'!$B$12),"N/M")</f>
        <v>608</v>
      </c>
      <c r="C20" s="12">
        <f>IFERROR(C5*(1+'⚙ SETUP'!$B$12),"N/M")</f>
        <v>336</v>
      </c>
      <c r="D20" s="12">
        <f>IFERROR(D5*(1+'⚙ SETUP'!$B$12),"N/M")</f>
        <v>1088</v>
      </c>
      <c r="E20" s="12">
        <f>IFERROR(E5*(1+'⚙ SETUP'!$B$12),"N/M")</f>
        <v>720</v>
      </c>
      <c r="F20" s="12">
        <f>IFERROR(F5*(1+'⚙ SETUP'!$B$12),"N/M")</f>
        <v>232</v>
      </c>
    </row>
    <row r="21" spans="1:6" ht="15" customHeight="1" x14ac:dyDescent="0.25">
      <c r="A21" s="3" t="s">
        <v>119</v>
      </c>
      <c r="B21" s="18">
        <f>IFERROR(B20*(1+B8),"N/M")</f>
        <v>717.43999999999994</v>
      </c>
      <c r="C21" s="18">
        <f>IFERROR(C20*(1+C8),"N/M")</f>
        <v>376.32000000000005</v>
      </c>
      <c r="D21" s="18">
        <f>IFERROR(D20*(1+D8),"N/M")</f>
        <v>1283.8399999999999</v>
      </c>
      <c r="E21" s="18">
        <f>IFERROR(E20*(1+E8),"N/M")</f>
        <v>849.59999999999991</v>
      </c>
      <c r="F21" s="18">
        <f>IFERROR(F20*(1+F8),"N/M")</f>
        <v>243.60000000000002</v>
      </c>
    </row>
    <row r="22" spans="1:6" ht="15" customHeight="1" x14ac:dyDescent="0.25">
      <c r="A22" s="5" t="s">
        <v>125</v>
      </c>
      <c r="B22" s="24">
        <f>IFERROR(1-B5/B20,"N/M")</f>
        <v>0.375</v>
      </c>
      <c r="C22" s="24">
        <f>IFERROR(1-C5/C20,"N/M")</f>
        <v>0.375</v>
      </c>
      <c r="D22" s="24">
        <f>IFERROR(1-D5/D20,"N/M")</f>
        <v>0.375</v>
      </c>
      <c r="E22" s="24">
        <f>IFERROR(1-E5/E20,"N/M")</f>
        <v>0.375</v>
      </c>
      <c r="F22" s="24">
        <f>IFERROR(1-F5/F20,"N/M")</f>
        <v>0.375</v>
      </c>
    </row>
    <row r="23" spans="1:6" ht="15" customHeight="1" x14ac:dyDescent="0.25">
      <c r="A23" s="5" t="s">
        <v>126</v>
      </c>
      <c r="B23" s="26">
        <f>IFERROR(B20-B5-B6,"N/M")</f>
        <v>182.6875</v>
      </c>
      <c r="C23" s="26">
        <f>IFERROR(C20-C5-C6,"N/M")</f>
        <v>112.90909090909091</v>
      </c>
      <c r="D23" s="26">
        <f>IFERROR(D20-D5-D6,"N/M")</f>
        <v>285.77777777777777</v>
      </c>
      <c r="E23" s="26">
        <f>IFERROR(E20-E5-E6,"N/M")</f>
        <v>245</v>
      </c>
      <c r="F23" s="26">
        <f>IFERROR(F20-F5-F6,"N/M")</f>
        <v>82.777777777777771</v>
      </c>
    </row>
    <row r="25" spans="1:6" ht="21.75" customHeight="1" x14ac:dyDescent="0.25">
      <c r="A25" s="93" t="s">
        <v>127</v>
      </c>
      <c r="B25" s="93"/>
      <c r="C25" s="93"/>
      <c r="D25" s="93"/>
      <c r="E25" s="93"/>
      <c r="F25" s="93"/>
    </row>
    <row r="26" spans="1:6" ht="15" customHeight="1" x14ac:dyDescent="0.25">
      <c r="A26" s="20" t="s">
        <v>128</v>
      </c>
      <c r="B26" s="27">
        <f>'⚙ SETUP'!$B$13</f>
        <v>80</v>
      </c>
      <c r="C26" s="27">
        <f>'⚙ SETUP'!$B$13</f>
        <v>80</v>
      </c>
      <c r="D26" s="27">
        <f>'⚙ SETUP'!$B$13</f>
        <v>80</v>
      </c>
      <c r="E26" s="27">
        <f>'⚙ SETUP'!$B$13</f>
        <v>80</v>
      </c>
      <c r="F26" s="27">
        <f>'⚙ SETUP'!$B$13</f>
        <v>80</v>
      </c>
    </row>
    <row r="27" spans="1:6" ht="15" customHeight="1" x14ac:dyDescent="0.25">
      <c r="A27" s="5" t="s">
        <v>129</v>
      </c>
      <c r="B27" s="18">
        <f>IFERROR('⚙ SETUP'!$B$13/(1-'⚙ SETUP'!$B$5),"N/M")</f>
        <v>106.90899371909663</v>
      </c>
      <c r="C27" s="18">
        <f>IFERROR('⚙ SETUP'!$B$13/(1-'⚙ SETUP'!$B$5),"N/M")</f>
        <v>106.90899371909663</v>
      </c>
      <c r="D27" s="18">
        <f>IFERROR('⚙ SETUP'!$B$13/(1-'⚙ SETUP'!$B$5),"N/M")</f>
        <v>106.90899371909663</v>
      </c>
      <c r="E27" s="18">
        <f>IFERROR('⚙ SETUP'!$B$13/(1-'⚙ SETUP'!$B$5),"N/M")</f>
        <v>106.90899371909663</v>
      </c>
      <c r="F27" s="18">
        <f>IFERROR('⚙ SETUP'!$B$13/(1-'⚙ SETUP'!$B$5),"N/M")</f>
        <v>106.90899371909663</v>
      </c>
    </row>
    <row r="28" spans="1:6" ht="21.75" customHeight="1" x14ac:dyDescent="0.25">
      <c r="A28" s="23" t="s">
        <v>130</v>
      </c>
      <c r="B28" s="12">
        <f>IFERROR(B7+B27,"N/M")</f>
        <v>532.22149371909666</v>
      </c>
      <c r="C28" s="12">
        <f>IFERROR(C7+C27,"N/M")</f>
        <v>329.99990281000572</v>
      </c>
      <c r="D28" s="12">
        <f>IFERROR(D7+D27,"N/M")</f>
        <v>909.13121594131883</v>
      </c>
      <c r="E28" s="12">
        <f>IFERROR(E7+E27,"N/M")</f>
        <v>581.90899371909666</v>
      </c>
      <c r="F28" s="12">
        <f>IFERROR(F7+F27,"N/M")</f>
        <v>256.13121594131883</v>
      </c>
    </row>
    <row r="29" spans="1:6" ht="15" customHeight="1" x14ac:dyDescent="0.25">
      <c r="A29" s="3" t="s">
        <v>119</v>
      </c>
      <c r="B29" s="18">
        <f>IFERROR(B28*(1+B8),"N/M")</f>
        <v>628.02136258853398</v>
      </c>
      <c r="C29" s="18">
        <f>IFERROR(C28*(1+C8),"N/M")</f>
        <v>369.59989114720645</v>
      </c>
      <c r="D29" s="18">
        <f>IFERROR(D28*(1+D8),"N/M")</f>
        <v>1072.7748348107561</v>
      </c>
      <c r="E29" s="18">
        <f>IFERROR(E28*(1+E8),"N/M")</f>
        <v>686.652612588534</v>
      </c>
      <c r="F29" s="18">
        <f>IFERROR(F28*(1+F8),"N/M")</f>
        <v>268.9377767383848</v>
      </c>
    </row>
    <row r="30" spans="1:6" ht="15" customHeight="1" x14ac:dyDescent="0.25">
      <c r="A30" s="5" t="s">
        <v>131</v>
      </c>
      <c r="B30" s="24">
        <f>IFERROR((B28-B5)/B28,"N/M")</f>
        <v>0.28601154879219942</v>
      </c>
      <c r="C30" s="24">
        <f>IFERROR((C28-C5)/C28,"N/M")</f>
        <v>0.3636361762175867</v>
      </c>
      <c r="D30" s="24">
        <f>IFERROR((D28-D5)/D28,"N/M")</f>
        <v>0.2520331630061512</v>
      </c>
      <c r="E30" s="24">
        <f>IFERROR((E28-E5)/E28,"N/M")</f>
        <v>0.22668320157081595</v>
      </c>
      <c r="F30" s="24">
        <f>IFERROR((F28-F5)/F28,"N/M")</f>
        <v>0.4338839197436194</v>
      </c>
    </row>
    <row r="31" spans="1:6" ht="15" customHeight="1" x14ac:dyDescent="0.25">
      <c r="A31" s="5" t="s">
        <v>121</v>
      </c>
      <c r="B31" s="25">
        <f>IFERROR(ROUNDUP(B7*'📦 PRODUCT INPUTS'!E4/(B28-B5),0),"N/M")</f>
        <v>8941</v>
      </c>
      <c r="C31" s="25">
        <f>IFERROR(ROUNDUP(C7*'📦 PRODUCT INPUTS'!E5/(C28-C5),0),"N/M")</f>
        <v>10226</v>
      </c>
      <c r="D31" s="25">
        <f>IFERROR(ROUNDUP(D7*'📦 PRODUCT INPUTS'!E6/(D28-D5),0),"N/M")</f>
        <v>6303</v>
      </c>
      <c r="E31" s="25">
        <f>IFERROR(ROUNDUP(E7*'📦 PRODUCT INPUTS'!E7/(E28-E5),0),"N/M")</f>
        <v>8643</v>
      </c>
      <c r="F31" s="25">
        <f>IFERROR(ROUNDUP(F7*'📦 PRODUCT INPUTS'!E8/(F28-F5),0),"N/M")</f>
        <v>12085</v>
      </c>
    </row>
    <row r="33" spans="1:6" ht="36.75" customHeight="1" x14ac:dyDescent="0.25">
      <c r="A33" s="79" t="s">
        <v>132</v>
      </c>
      <c r="B33" s="79"/>
      <c r="C33" s="79"/>
      <c r="D33" s="79"/>
      <c r="E33" s="79"/>
      <c r="F33" s="79"/>
    </row>
  </sheetData>
  <sheetProtection algorithmName="SHA-512" hashValue="lJoRgvielkyBg4pDCidoG9MPtlg11xWtxRRsYE2YXEw4Fgh5Cq5FyBcAVfR+uO0mkaG8zxPYFGTzVctFfYKaMw==" saltValue="AZgL4HqYJfyGPNQ1KwI0pg==" spinCount="100000" sheet="1" objects="1" scenarios="1"/>
  <mergeCells count="8">
    <mergeCell ref="A18:F18"/>
    <mergeCell ref="A25:F25"/>
    <mergeCell ref="A33:F33"/>
    <mergeCell ref="A1:F1"/>
    <mergeCell ref="A2:F2"/>
    <mergeCell ref="A3:F3"/>
    <mergeCell ref="A10:F10"/>
    <mergeCell ref="B12:F12"/>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04000"/>
  </sheetPr>
  <dimension ref="A1:F31"/>
  <sheetViews>
    <sheetView zoomScaleNormal="100" workbookViewId="0">
      <pane xSplit="1" ySplit="3" topLeftCell="B4" activePane="bottomRight" state="frozen"/>
      <selection pane="topRight" activeCell="B1" sqref="B1"/>
      <selection pane="bottomLeft" activeCell="A4" sqref="A4"/>
      <selection pane="bottomRight" sqref="A1:XFD1048576"/>
    </sheetView>
  </sheetViews>
  <sheetFormatPr defaultColWidth="8.7109375" defaultRowHeight="15" x14ac:dyDescent="0.25"/>
  <cols>
    <col min="1" max="1" width="37" style="1" customWidth="1"/>
    <col min="2" max="6" width="14" style="1" customWidth="1"/>
    <col min="7" max="16384" width="8.7109375" style="1"/>
  </cols>
  <sheetData>
    <row r="1" spans="1:6" ht="30" customHeight="1" x14ac:dyDescent="0.25">
      <c r="A1" s="76" t="s">
        <v>133</v>
      </c>
      <c r="B1" s="76"/>
      <c r="C1" s="76"/>
      <c r="D1" s="76"/>
      <c r="E1" s="76"/>
      <c r="F1" s="76"/>
    </row>
    <row r="2" spans="1:6" ht="15" customHeight="1" x14ac:dyDescent="0.25">
      <c r="A2" s="77" t="s">
        <v>134</v>
      </c>
      <c r="B2" s="77"/>
      <c r="C2" s="77"/>
      <c r="D2" s="77"/>
      <c r="E2" s="77"/>
      <c r="F2" s="77"/>
    </row>
    <row r="3" spans="1:6" ht="21.75" customHeight="1" x14ac:dyDescent="0.25">
      <c r="A3" s="78" t="s">
        <v>135</v>
      </c>
      <c r="B3" s="78"/>
      <c r="C3" s="78"/>
      <c r="D3" s="78"/>
      <c r="E3" s="78"/>
      <c r="F3" s="78"/>
    </row>
    <row r="4" spans="1:6" ht="21.75" customHeight="1" x14ac:dyDescent="0.25">
      <c r="A4" s="2"/>
      <c r="B4" s="2" t="s">
        <v>100</v>
      </c>
      <c r="C4" s="2" t="s">
        <v>101</v>
      </c>
      <c r="D4" s="2" t="s">
        <v>102</v>
      </c>
      <c r="E4" s="2" t="s">
        <v>103</v>
      </c>
      <c r="F4" s="2" t="s">
        <v>104</v>
      </c>
    </row>
    <row r="5" spans="1:6" ht="15" customHeight="1" x14ac:dyDescent="0.25">
      <c r="A5" s="3" t="s">
        <v>110</v>
      </c>
      <c r="B5" s="18">
        <f>'📦 PRODUCT INPUTS'!C4</f>
        <v>380</v>
      </c>
      <c r="C5" s="18">
        <f>'📦 PRODUCT INPUTS'!C5</f>
        <v>210</v>
      </c>
      <c r="D5" s="18">
        <f>'📦 PRODUCT INPUTS'!C6</f>
        <v>680</v>
      </c>
      <c r="E5" s="18">
        <f>'📦 PRODUCT INPUTS'!C7</f>
        <v>450</v>
      </c>
      <c r="F5" s="18">
        <f>'📦 PRODUCT INPUTS'!C8</f>
        <v>145</v>
      </c>
    </row>
    <row r="6" spans="1:6" ht="15" customHeight="1" x14ac:dyDescent="0.25">
      <c r="A6" s="3" t="s">
        <v>136</v>
      </c>
      <c r="B6" s="18">
        <f>'📦 PRODUCT INPUTS'!H4</f>
        <v>425.3125</v>
      </c>
      <c r="C6" s="18">
        <f>'📦 PRODUCT INPUTS'!H5</f>
        <v>223.09090909090909</v>
      </c>
      <c r="D6" s="18">
        <f>'📦 PRODUCT INPUTS'!H6</f>
        <v>802.22222222222217</v>
      </c>
      <c r="E6" s="18">
        <f>'📦 PRODUCT INPUTS'!H7</f>
        <v>475</v>
      </c>
      <c r="F6" s="18">
        <f>'📦 PRODUCT INPUTS'!H8</f>
        <v>149.22222222222223</v>
      </c>
    </row>
    <row r="7" spans="1:6" ht="15" customHeight="1" x14ac:dyDescent="0.25">
      <c r="A7" s="3" t="s">
        <v>113</v>
      </c>
      <c r="B7" s="19">
        <f>'📦 PRODUCT INPUTS'!F4</f>
        <v>0.18</v>
      </c>
      <c r="C7" s="19">
        <f>'📦 PRODUCT INPUTS'!F5</f>
        <v>0.12</v>
      </c>
      <c r="D7" s="19">
        <f>'📦 PRODUCT INPUTS'!F6</f>
        <v>0.18</v>
      </c>
      <c r="E7" s="19">
        <f>'📦 PRODUCT INPUTS'!F7</f>
        <v>0.18</v>
      </c>
      <c r="F7" s="19">
        <f>'📦 PRODUCT INPUTS'!F8</f>
        <v>0.05</v>
      </c>
    </row>
    <row r="9" spans="1:6" ht="21.75" customHeight="1" x14ac:dyDescent="0.25">
      <c r="A9" s="70" t="s">
        <v>137</v>
      </c>
      <c r="B9" s="70"/>
      <c r="C9" s="70"/>
      <c r="D9" s="70"/>
      <c r="E9" s="70"/>
      <c r="F9" s="70"/>
    </row>
    <row r="10" spans="1:6" ht="30" customHeight="1" x14ac:dyDescent="0.25">
      <c r="A10" s="28" t="s">
        <v>67</v>
      </c>
      <c r="B10" s="29">
        <f>'⚙ SETUP'!$B$18</f>
        <v>650</v>
      </c>
      <c r="C10" s="29">
        <f>'⚙ SETUP'!$B$18</f>
        <v>650</v>
      </c>
      <c r="D10" s="29">
        <f>'⚙ SETUP'!$B$18</f>
        <v>650</v>
      </c>
      <c r="E10" s="29">
        <f>'⚙ SETUP'!$B$18</f>
        <v>650</v>
      </c>
      <c r="F10" s="29">
        <f>'⚙ SETUP'!$B$18</f>
        <v>650</v>
      </c>
    </row>
    <row r="11" spans="1:6" ht="21.75" customHeight="1" x14ac:dyDescent="0.25">
      <c r="A11" s="28" t="s">
        <v>69</v>
      </c>
      <c r="B11" s="30">
        <f>'⚙ SETUP'!$B$19</f>
        <v>0.1</v>
      </c>
      <c r="C11" s="30">
        <f>'⚙ SETUP'!$B$19</f>
        <v>0.1</v>
      </c>
      <c r="D11" s="30">
        <f>'⚙ SETUP'!$B$19</f>
        <v>0.1</v>
      </c>
      <c r="E11" s="30">
        <f>'⚙ SETUP'!$B$19</f>
        <v>0.1</v>
      </c>
      <c r="F11" s="30">
        <f>'⚙ SETUP'!$B$19</f>
        <v>0.1</v>
      </c>
    </row>
    <row r="12" spans="1:6" ht="15" customHeight="1" x14ac:dyDescent="0.25">
      <c r="A12" s="28" t="s">
        <v>71</v>
      </c>
      <c r="B12" s="30">
        <f>'⚙ SETUP'!$B$20</f>
        <v>0.05</v>
      </c>
      <c r="C12" s="30">
        <f>'⚙ SETUP'!$B$20</f>
        <v>0.05</v>
      </c>
      <c r="D12" s="30">
        <f>'⚙ SETUP'!$B$20</f>
        <v>0.05</v>
      </c>
      <c r="E12" s="30">
        <f>'⚙ SETUP'!$B$20</f>
        <v>0.05</v>
      </c>
      <c r="F12" s="30">
        <f>'⚙ SETUP'!$B$20</f>
        <v>0.05</v>
      </c>
    </row>
    <row r="14" spans="1:6" ht="21.75" customHeight="1" x14ac:dyDescent="0.25">
      <c r="A14" s="71" t="s">
        <v>138</v>
      </c>
      <c r="B14" s="71"/>
      <c r="C14" s="71"/>
      <c r="D14" s="71"/>
      <c r="E14" s="71"/>
      <c r="F14" s="71"/>
    </row>
    <row r="15" spans="1:6" ht="35.25" customHeight="1" x14ac:dyDescent="0.25">
      <c r="A15" s="31" t="s">
        <v>139</v>
      </c>
      <c r="B15" s="32">
        <f>B6</f>
        <v>425.3125</v>
      </c>
      <c r="C15" s="32">
        <f>C6</f>
        <v>223.09090909090909</v>
      </c>
      <c r="D15" s="32">
        <f>D6</f>
        <v>802.22222222222217</v>
      </c>
      <c r="E15" s="32">
        <f>E6</f>
        <v>475</v>
      </c>
      <c r="F15" s="32">
        <f>F6</f>
        <v>149.22222222222223</v>
      </c>
    </row>
    <row r="16" spans="1:6" ht="15" customHeight="1" x14ac:dyDescent="0.25">
      <c r="A16" s="5" t="s">
        <v>140</v>
      </c>
      <c r="B16" s="26">
        <f>B15*(1+B7)</f>
        <v>501.86874999999998</v>
      </c>
      <c r="C16" s="26">
        <f>C15*(1+C7)</f>
        <v>249.86181818181822</v>
      </c>
      <c r="D16" s="26">
        <f>D15*(1+D7)</f>
        <v>946.62222222222215</v>
      </c>
      <c r="E16" s="26">
        <f>E15*(1+E7)</f>
        <v>560.5</v>
      </c>
      <c r="F16" s="26">
        <f>F15*(1+F7)</f>
        <v>156.68333333333334</v>
      </c>
    </row>
    <row r="18" spans="1:6" ht="48" customHeight="1" x14ac:dyDescent="0.25">
      <c r="A18" s="33" t="s">
        <v>141</v>
      </c>
      <c r="B18" s="34">
        <f>IFERROR(B5/(1-'⚙ SETUP'!$B$11),"N/M")</f>
        <v>584.61538461538464</v>
      </c>
      <c r="C18" s="34">
        <f>IFERROR(C5/(1-'⚙ SETUP'!$B$11),"N/M")</f>
        <v>323.07692307692304</v>
      </c>
      <c r="D18" s="34">
        <f>IFERROR(D5/(1-'⚙ SETUP'!$B$11),"N/M")</f>
        <v>1046.1538461538462</v>
      </c>
      <c r="E18" s="34">
        <f>IFERROR(E5/(1-'⚙ SETUP'!$B$11),"N/M")</f>
        <v>692.30769230769226</v>
      </c>
      <c r="F18" s="34">
        <f>IFERROR(F5/(1-'⚙ SETUP'!$B$11),"N/M")</f>
        <v>223.07692307692307</v>
      </c>
    </row>
    <row r="19" spans="1:6" ht="15" customHeight="1" x14ac:dyDescent="0.25">
      <c r="A19" s="5" t="s">
        <v>142</v>
      </c>
      <c r="B19" s="26">
        <f>IFERROR(B18*(1+B7),"N/M")</f>
        <v>689.84615384615381</v>
      </c>
      <c r="C19" s="26">
        <f>IFERROR(C18*(1+C7),"N/M")</f>
        <v>361.84615384615381</v>
      </c>
      <c r="D19" s="26">
        <f>IFERROR(D18*(1+D7),"N/M")</f>
        <v>1234.4615384615383</v>
      </c>
      <c r="E19" s="26">
        <f>IFERROR(E18*(1+E7),"N/M")</f>
        <v>816.92307692307679</v>
      </c>
      <c r="F19" s="26">
        <f>IFERROR(F18*(1+F7),"N/M")</f>
        <v>234.23076923076923</v>
      </c>
    </row>
    <row r="21" spans="1:6" ht="21.75" customHeight="1" x14ac:dyDescent="0.25">
      <c r="A21" s="35" t="s">
        <v>143</v>
      </c>
      <c r="B21" s="12">
        <f>B10*(1+B11)</f>
        <v>715.00000000000011</v>
      </c>
      <c r="C21" s="12">
        <f>C10*(1+C11)</f>
        <v>715.00000000000011</v>
      </c>
      <c r="D21" s="12">
        <f>D10*(1+D11)</f>
        <v>715.00000000000011</v>
      </c>
      <c r="E21" s="12">
        <f>E10*(1+E11)</f>
        <v>715.00000000000011</v>
      </c>
      <c r="F21" s="12">
        <f>F10*(1+F11)</f>
        <v>715.00000000000011</v>
      </c>
    </row>
    <row r="22" spans="1:6" ht="15" customHeight="1" x14ac:dyDescent="0.25">
      <c r="A22" s="5" t="s">
        <v>144</v>
      </c>
      <c r="B22" s="26">
        <f>B21*(1+B7)</f>
        <v>843.7</v>
      </c>
      <c r="C22" s="26">
        <f>C21*(1+C7)</f>
        <v>800.80000000000018</v>
      </c>
      <c r="D22" s="26">
        <f>D21*(1+D7)</f>
        <v>843.7</v>
      </c>
      <c r="E22" s="26">
        <f>E21*(1+E7)</f>
        <v>843.7</v>
      </c>
      <c r="F22" s="26">
        <f>F21*(1+F7)</f>
        <v>750.75000000000011</v>
      </c>
    </row>
    <row r="24" spans="1:6" ht="38.25" customHeight="1" x14ac:dyDescent="0.25">
      <c r="A24" s="36" t="s">
        <v>145</v>
      </c>
      <c r="B24" s="37">
        <f>IF(B21&lt;B15,"⚠ UNVIABLE",IFERROR(MAX(B15,MIN(B18,B21)),"N/M"))</f>
        <v>584.61538461538464</v>
      </c>
      <c r="C24" s="37">
        <f>IF(C21&lt;C15,"⚠ UNVIABLE",IFERROR(MAX(C15,MIN(C18,C21)),"N/M"))</f>
        <v>323.07692307692304</v>
      </c>
      <c r="D24" s="37" t="str">
        <f>IF(D21&lt;D15,"⚠ UNVIABLE",IFERROR(MAX(D15,MIN(D18,D21)),"N/M"))</f>
        <v>⚠ UNVIABLE</v>
      </c>
      <c r="E24" s="37">
        <f>IF(E21&lt;E15,"⚠ UNVIABLE",IFERROR(MAX(E15,MIN(E18,E21)),"N/M"))</f>
        <v>692.30769230769226</v>
      </c>
      <c r="F24" s="37">
        <f>IF(F21&lt;F15,"⚠ UNVIABLE",IFERROR(MAX(F15,MIN(F18,F21)),"N/M"))</f>
        <v>223.07692307692307</v>
      </c>
    </row>
    <row r="25" spans="1:6" ht="15" customHeight="1" x14ac:dyDescent="0.25">
      <c r="A25" s="3" t="s">
        <v>146</v>
      </c>
      <c r="B25" s="18">
        <f>IF(NOT(ISNUMBER(B24)),"—",IFERROR(B24*(1+B7),"N/M"))</f>
        <v>689.84615384615381</v>
      </c>
      <c r="C25" s="18">
        <f>IF(NOT(ISNUMBER(C24)),"—",IFERROR(C24*(1+C7),"N/M"))</f>
        <v>361.84615384615381</v>
      </c>
      <c r="D25" s="18" t="str">
        <f>IF(NOT(ISNUMBER(D24)),"—",IFERROR(D24*(1+D7),"N/M"))</f>
        <v>—</v>
      </c>
      <c r="E25" s="18">
        <f>IF(NOT(ISNUMBER(E24)),"—",IFERROR(E24*(1+E7),"N/M"))</f>
        <v>816.92307692307679</v>
      </c>
      <c r="F25" s="18">
        <f>IF(NOT(ISNUMBER(F24)),"—",IFERROR(F24*(1+F7),"N/M"))</f>
        <v>234.23076923076923</v>
      </c>
    </row>
    <row r="26" spans="1:6" ht="15" customHeight="1" x14ac:dyDescent="0.25">
      <c r="A26" s="5" t="s">
        <v>147</v>
      </c>
      <c r="B26" s="24">
        <f>IF(NOT(ISNUMBER(B24)),"—",IFERROR((B24-B5)/B24,"N/M"))</f>
        <v>0.35000000000000003</v>
      </c>
      <c r="C26" s="24">
        <f>IF(NOT(ISNUMBER(C24)),"—",IFERROR((C24-C5)/C24,"N/M"))</f>
        <v>0.34999999999999992</v>
      </c>
      <c r="D26" s="24" t="str">
        <f>IF(NOT(ISNUMBER(D24)),"—",IFERROR((D24-D5)/D24,"N/M"))</f>
        <v>—</v>
      </c>
      <c r="E26" s="24">
        <f>IF(NOT(ISNUMBER(E24)),"—",IFERROR((E24-E5)/E24,"N/M"))</f>
        <v>0.35</v>
      </c>
      <c r="F26" s="24">
        <f>IF(NOT(ISNUMBER(F24)),"—",IFERROR((F24-F5)/F24,"N/M"))</f>
        <v>0.35</v>
      </c>
    </row>
    <row r="27" spans="1:6" ht="18.75" customHeight="1" x14ac:dyDescent="0.25">
      <c r="A27" s="5" t="s">
        <v>148</v>
      </c>
      <c r="B27" s="26">
        <f>IF(NOT(ISNUMBER(B24)),"—",IFERROR(B24*(1-B12),"N/M"))</f>
        <v>555.38461538461536</v>
      </c>
      <c r="C27" s="26">
        <f>IF(NOT(ISNUMBER(C24)),"—",IFERROR(C24*(1-C12),"N/M"))</f>
        <v>306.92307692307685</v>
      </c>
      <c r="D27" s="26" t="str">
        <f>IF(NOT(ISNUMBER(D24)),"—",IFERROR(D24*(1-D12),"N/M"))</f>
        <v>—</v>
      </c>
      <c r="E27" s="26">
        <f>IF(NOT(ISNUMBER(E24)),"—",IFERROR(E24*(1-E12),"N/M"))</f>
        <v>657.69230769230762</v>
      </c>
      <c r="F27" s="26">
        <f>IF(NOT(ISNUMBER(F24)),"—",IFERROR(F24*(1-F12),"N/M"))</f>
        <v>211.92307692307691</v>
      </c>
    </row>
    <row r="28" spans="1:6" ht="30.75" customHeight="1" x14ac:dyDescent="0.25">
      <c r="A28" s="38" t="s">
        <v>149</v>
      </c>
      <c r="B28" s="12">
        <f>IF(NOT(ISNUMBER(B24)),"—",IFERROR(B24/(1-B12),"N/M"))</f>
        <v>615.38461538461547</v>
      </c>
      <c r="C28" s="12">
        <f>IF(NOT(ISNUMBER(C24)),"—",IFERROR(C24/(1-C12),"N/M"))</f>
        <v>340.08097165991899</v>
      </c>
      <c r="D28" s="12" t="str">
        <f>IF(NOT(ISNUMBER(D24)),"—",IFERROR(D24/(1-D12),"N/M"))</f>
        <v>—</v>
      </c>
      <c r="E28" s="12">
        <f>IF(NOT(ISNUMBER(E24)),"—",IFERROR(E24/(1-E12),"N/M"))</f>
        <v>728.74493927125502</v>
      </c>
      <c r="F28" s="12">
        <f>IF(NOT(ISNUMBER(F24)),"—",IFERROR(F24/(1-F12),"N/M"))</f>
        <v>234.81781376518219</v>
      </c>
    </row>
    <row r="29" spans="1:6" ht="21.75" customHeight="1" x14ac:dyDescent="0.25">
      <c r="A29" s="39" t="s">
        <v>150</v>
      </c>
      <c r="B29" s="40" t="str">
        <f>IF(B21&lt;B15,"🔴 Market ceiling below cost floor","🟢 Within viable price band")</f>
        <v>🟢 Within viable price band</v>
      </c>
      <c r="C29" s="40" t="str">
        <f>IF(C21&lt;C15,"🔴 Market ceiling below cost floor","🟢 Within viable price band")</f>
        <v>🟢 Within viable price band</v>
      </c>
      <c r="D29" s="40" t="str">
        <f>IF(D21&lt;D15,"🔴 Market ceiling below cost floor","🟢 Within viable price band")</f>
        <v>🔴 Market ceiling below cost floor</v>
      </c>
      <c r="E29" s="40" t="str">
        <f>IF(E21&lt;E15,"🔴 Market ceiling below cost floor","🟢 Within viable price band")</f>
        <v>🟢 Within viable price band</v>
      </c>
      <c r="F29" s="40" t="str">
        <f>IF(F21&lt;F15,"🔴 Market ceiling below cost floor","🟢 Within viable price band")</f>
        <v>🟢 Within viable price band</v>
      </c>
    </row>
    <row r="30" spans="1:6" ht="27.75" customHeight="1" x14ac:dyDescent="0.25">
      <c r="A30" s="41"/>
      <c r="B30" s="42"/>
      <c r="C30" s="42"/>
      <c r="D30" s="42"/>
      <c r="E30" s="42"/>
      <c r="F30" s="42"/>
    </row>
    <row r="31" spans="1:6" ht="52.5" customHeight="1" x14ac:dyDescent="0.25">
      <c r="A31" s="79" t="s">
        <v>151</v>
      </c>
      <c r="B31" s="79"/>
      <c r="C31" s="79"/>
      <c r="D31" s="79"/>
      <c r="E31" s="79"/>
      <c r="F31" s="79"/>
    </row>
  </sheetData>
  <sheetProtection algorithmName="SHA-512" hashValue="T0VreSHsUVNb7PQdANn/3dKGakh4Im0dS/htXxU6CAtEgU4OTYSdEMemfK1k2ZOPf41CIKstJcx8TlpNTreqHA==" saltValue="IG18MlmuDEkJqW/fGwdRKA==" spinCount="100000" sheet="1" objects="1" scenarios="1"/>
  <mergeCells count="6">
    <mergeCell ref="A31:F31"/>
    <mergeCell ref="A1:F1"/>
    <mergeCell ref="A2:F2"/>
    <mergeCell ref="A3:F3"/>
    <mergeCell ref="A9:F9"/>
    <mergeCell ref="A14:F14"/>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B4F72"/>
  </sheetPr>
  <dimension ref="A1:I78"/>
  <sheetViews>
    <sheetView zoomScaleNormal="100" workbookViewId="0">
      <pane ySplit="3" topLeftCell="A67" activePane="bottomLeft" state="frozen"/>
      <selection pane="bottomLeft" sqref="A1:XFD1048576"/>
    </sheetView>
  </sheetViews>
  <sheetFormatPr defaultColWidth="8.7109375" defaultRowHeight="15" x14ac:dyDescent="0.25"/>
  <cols>
    <col min="1" max="1" width="22" style="1" customWidth="1"/>
    <col min="2" max="9" width="13" style="1" customWidth="1"/>
    <col min="10" max="16384" width="8.7109375" style="1"/>
  </cols>
  <sheetData>
    <row r="1" spans="1:9" ht="30" customHeight="1" x14ac:dyDescent="0.25">
      <c r="A1" s="76" t="s">
        <v>152</v>
      </c>
      <c r="B1" s="76"/>
      <c r="C1" s="76"/>
      <c r="D1" s="76"/>
      <c r="E1" s="76"/>
      <c r="F1" s="76"/>
      <c r="G1" s="76"/>
      <c r="H1" s="76"/>
      <c r="I1" s="76"/>
    </row>
    <row r="2" spans="1:9" ht="15" customHeight="1" x14ac:dyDescent="0.25">
      <c r="A2" s="77" t="s">
        <v>153</v>
      </c>
      <c r="B2" s="77"/>
      <c r="C2" s="77"/>
      <c r="D2" s="77"/>
      <c r="E2" s="77"/>
      <c r="F2" s="77"/>
      <c r="G2" s="77"/>
      <c r="H2" s="77"/>
      <c r="I2" s="77"/>
    </row>
    <row r="3" spans="1:9" ht="27.75" customHeight="1" x14ac:dyDescent="0.25">
      <c r="A3" s="2" t="s">
        <v>154</v>
      </c>
      <c r="B3" s="2" t="s">
        <v>155</v>
      </c>
      <c r="C3" s="2" t="s">
        <v>156</v>
      </c>
      <c r="D3" s="2" t="s">
        <v>157</v>
      </c>
      <c r="E3" s="2" t="s">
        <v>158</v>
      </c>
      <c r="F3" s="2" t="s">
        <v>159</v>
      </c>
      <c r="G3" s="2" t="s">
        <v>160</v>
      </c>
      <c r="H3" s="2" t="s">
        <v>161</v>
      </c>
      <c r="I3" s="2" t="s">
        <v>162</v>
      </c>
    </row>
    <row r="4" spans="1:9" ht="21.75" customHeight="1" x14ac:dyDescent="0.25">
      <c r="A4" s="93" t="s">
        <v>163</v>
      </c>
      <c r="B4" s="93"/>
      <c r="C4" s="93"/>
      <c r="D4" s="93"/>
      <c r="E4" s="93"/>
      <c r="F4" s="93"/>
      <c r="G4" s="93"/>
      <c r="H4" s="93"/>
      <c r="I4" s="93"/>
    </row>
    <row r="5" spans="1:9" ht="18" customHeight="1" x14ac:dyDescent="0.25">
      <c r="A5" s="43">
        <f>ROUND('📦 PRODUCT INPUTS'!C4*1.05,2)</f>
        <v>399</v>
      </c>
      <c r="B5" s="18">
        <f>A5*(1+'📦 PRODUCT INPUTS'!F4)</f>
        <v>470.82</v>
      </c>
      <c r="C5" s="18">
        <f>A5-'📦 PRODUCT INPUTS'!C4</f>
        <v>19</v>
      </c>
      <c r="D5" s="44">
        <f t="shared" ref="D5:D16" si="0">IFERROR(C5/A5,0)</f>
        <v>4.7619047619047616E-2</v>
      </c>
      <c r="E5" s="45">
        <f>IFERROR(ROUND('📦 PRODUCT INPUTS'!E4*MAX(0,1-'⚙ SETUP'!$B$21*100*(A5/('📦 PRODUCT INPUTS'!C4*1.4)-1)),0),0)</f>
        <v>4400</v>
      </c>
      <c r="F5" s="45">
        <f t="shared" ref="F5:F16" si="1">A5*E5</f>
        <v>1755600</v>
      </c>
      <c r="G5" s="45">
        <f>'📦 PRODUCT INPUTS'!C4*E5+'📦 PRODUCT INPUTS'!D4</f>
        <v>1817000</v>
      </c>
      <c r="H5" s="45">
        <f t="shared" ref="H5:H16" si="2">F5-G5</f>
        <v>-61400</v>
      </c>
      <c r="I5" s="9" t="str">
        <f>IF(C5&lt;=0,"🔴 Loss",IF(H5&gt;='⚙ SETUP'!$B$13*E5,"🟢 Above target","🟡 Below target"))</f>
        <v>🟡 Below target</v>
      </c>
    </row>
    <row r="6" spans="1:9" ht="18" customHeight="1" x14ac:dyDescent="0.25">
      <c r="A6" s="43">
        <f>ROUND('📦 PRODUCT INPUTS'!C4*1.1,2)</f>
        <v>418</v>
      </c>
      <c r="B6" s="18">
        <f>A6*(1+'📦 PRODUCT INPUTS'!F4)</f>
        <v>493.23999999999995</v>
      </c>
      <c r="C6" s="18">
        <f>A6-'📦 PRODUCT INPUTS'!C4</f>
        <v>38</v>
      </c>
      <c r="D6" s="44">
        <f t="shared" si="0"/>
        <v>9.0909090909090912E-2</v>
      </c>
      <c r="E6" s="45">
        <f>IFERROR(ROUND('📦 PRODUCT INPUTS'!E4*MAX(0,1-'⚙ SETUP'!$B$21*100*(A6/('📦 PRODUCT INPUTS'!C4*1.4)-1)),0),0)</f>
        <v>4229</v>
      </c>
      <c r="F6" s="45">
        <f t="shared" si="1"/>
        <v>1767722</v>
      </c>
      <c r="G6" s="45">
        <f>'📦 PRODUCT INPUTS'!C4*E6+'📦 PRODUCT INPUTS'!D4</f>
        <v>1752020</v>
      </c>
      <c r="H6" s="45">
        <f t="shared" si="2"/>
        <v>15702</v>
      </c>
      <c r="I6" s="9" t="str">
        <f>IF(C6&lt;=0,"🔴 Loss",IF(H6&gt;='⚙ SETUP'!$B$13*E6,"🟢 Above target","🟡 Below target"))</f>
        <v>🟡 Below target</v>
      </c>
    </row>
    <row r="7" spans="1:9" ht="18" customHeight="1" x14ac:dyDescent="0.25">
      <c r="A7" s="43">
        <f>ROUND('📦 PRODUCT INPUTS'!C4*1.2,2)</f>
        <v>456</v>
      </c>
      <c r="B7" s="18">
        <f>A7*(1+'📦 PRODUCT INPUTS'!F4)</f>
        <v>538.07999999999993</v>
      </c>
      <c r="C7" s="18">
        <f>A7-'📦 PRODUCT INPUTS'!C4</f>
        <v>76</v>
      </c>
      <c r="D7" s="44">
        <f t="shared" si="0"/>
        <v>0.16666666666666666</v>
      </c>
      <c r="E7" s="45">
        <f>IFERROR(ROUND('📦 PRODUCT INPUTS'!E4*MAX(0,1-'⚙ SETUP'!$B$21*100*(A7/('📦 PRODUCT INPUTS'!C4*1.4)-1)),0),0)</f>
        <v>3886</v>
      </c>
      <c r="F7" s="45">
        <f t="shared" si="1"/>
        <v>1772016</v>
      </c>
      <c r="G7" s="45">
        <f>'📦 PRODUCT INPUTS'!C4*E7+'📦 PRODUCT INPUTS'!D4</f>
        <v>1621680</v>
      </c>
      <c r="H7" s="45">
        <f t="shared" si="2"/>
        <v>150336</v>
      </c>
      <c r="I7" s="9" t="str">
        <f>IF(C7&lt;=0,"🔴 Loss",IF(H7&gt;='⚙ SETUP'!$B$13*E7,"🟢 Above target","🟡 Below target"))</f>
        <v>🟡 Below target</v>
      </c>
    </row>
    <row r="8" spans="1:9" ht="18" customHeight="1" x14ac:dyDescent="0.25">
      <c r="A8" s="43">
        <f>ROUND('📦 PRODUCT INPUTS'!C4*1.3,2)</f>
        <v>494</v>
      </c>
      <c r="B8" s="18">
        <f>A8*(1+'📦 PRODUCT INPUTS'!F4)</f>
        <v>582.91999999999996</v>
      </c>
      <c r="C8" s="18">
        <f>A8-'📦 PRODUCT INPUTS'!C4</f>
        <v>114</v>
      </c>
      <c r="D8" s="44">
        <f t="shared" si="0"/>
        <v>0.23076923076923078</v>
      </c>
      <c r="E8" s="45">
        <f>IFERROR(ROUND('📦 PRODUCT INPUTS'!E4*MAX(0,1-'⚙ SETUP'!$B$21*100*(A8/('📦 PRODUCT INPUTS'!C4*1.4)-1)),0),0)</f>
        <v>3543</v>
      </c>
      <c r="F8" s="45">
        <f t="shared" si="1"/>
        <v>1750242</v>
      </c>
      <c r="G8" s="45">
        <f>'📦 PRODUCT INPUTS'!C4*E8+'📦 PRODUCT INPUTS'!D4</f>
        <v>1491340</v>
      </c>
      <c r="H8" s="45">
        <f t="shared" si="2"/>
        <v>258902</v>
      </c>
      <c r="I8" s="9" t="str">
        <f>IF(C8&lt;=0,"🔴 Loss",IF(H8&gt;='⚙ SETUP'!$B$13*E8,"🟢 Above target","🟡 Below target"))</f>
        <v>🟡 Below target</v>
      </c>
    </row>
    <row r="9" spans="1:9" ht="18" customHeight="1" x14ac:dyDescent="0.25">
      <c r="A9" s="43">
        <f>ROUND('📦 PRODUCT INPUTS'!C4*1.4,2)</f>
        <v>532</v>
      </c>
      <c r="B9" s="18">
        <f>A9*(1+'📦 PRODUCT INPUTS'!F4)</f>
        <v>627.76</v>
      </c>
      <c r="C9" s="12">
        <f>A9-'📦 PRODUCT INPUTS'!C4</f>
        <v>152</v>
      </c>
      <c r="D9" s="46">
        <f t="shared" si="0"/>
        <v>0.2857142857142857</v>
      </c>
      <c r="E9" s="47">
        <f>IFERROR(ROUND('📦 PRODUCT INPUTS'!E4*MAX(0,1-'⚙ SETUP'!$B$21*100*(A9/('📦 PRODUCT INPUTS'!C4*1.4)-1)),0),0)</f>
        <v>3200</v>
      </c>
      <c r="F9" s="47">
        <f t="shared" si="1"/>
        <v>1702400</v>
      </c>
      <c r="G9" s="47">
        <f>'📦 PRODUCT INPUTS'!C4*E9+'📦 PRODUCT INPUTS'!D4</f>
        <v>1361000</v>
      </c>
      <c r="H9" s="47">
        <f t="shared" si="2"/>
        <v>341400</v>
      </c>
      <c r="I9" s="48" t="str">
        <f>IF(C9&lt;=0,"🔴 Loss",IF(H9&gt;='⚙ SETUP'!$B$13*E9,"🟢 Above target","🟡 Below target"))</f>
        <v>🟢 Above target</v>
      </c>
    </row>
    <row r="10" spans="1:9" ht="18" customHeight="1" x14ac:dyDescent="0.25">
      <c r="A10" s="43">
        <f>ROUND('📦 PRODUCT INPUTS'!C4*1.5,2)</f>
        <v>570</v>
      </c>
      <c r="B10" s="18">
        <f>A10*(1+'📦 PRODUCT INPUTS'!F4)</f>
        <v>672.59999999999991</v>
      </c>
      <c r="C10" s="18">
        <f>A10-'📦 PRODUCT INPUTS'!C4</f>
        <v>190</v>
      </c>
      <c r="D10" s="44">
        <f t="shared" si="0"/>
        <v>0.33333333333333331</v>
      </c>
      <c r="E10" s="45">
        <f>IFERROR(ROUND('📦 PRODUCT INPUTS'!E4*MAX(0,1-'⚙ SETUP'!$B$21*100*(A10/('📦 PRODUCT INPUTS'!C4*1.4)-1)),0),0)</f>
        <v>2857</v>
      </c>
      <c r="F10" s="45">
        <f t="shared" si="1"/>
        <v>1628490</v>
      </c>
      <c r="G10" s="45">
        <f>'📦 PRODUCT INPUTS'!C4*E10+'📦 PRODUCT INPUTS'!D4</f>
        <v>1230660</v>
      </c>
      <c r="H10" s="45">
        <f t="shared" si="2"/>
        <v>397830</v>
      </c>
      <c r="I10" s="9" t="str">
        <f>IF(C10&lt;=0,"🔴 Loss",IF(H10&gt;='⚙ SETUP'!$B$13*E10,"🟢 Above target","🟡 Below target"))</f>
        <v>🟢 Above target</v>
      </c>
    </row>
    <row r="11" spans="1:9" ht="18" customHeight="1" x14ac:dyDescent="0.25">
      <c r="A11" s="43">
        <f>ROUND('📦 PRODUCT INPUTS'!C4*1.6,2)</f>
        <v>608</v>
      </c>
      <c r="B11" s="18">
        <f>A11*(1+'📦 PRODUCT INPUTS'!F4)</f>
        <v>717.43999999999994</v>
      </c>
      <c r="C11" s="18">
        <f>A11-'📦 PRODUCT INPUTS'!C4</f>
        <v>228</v>
      </c>
      <c r="D11" s="44">
        <f t="shared" si="0"/>
        <v>0.375</v>
      </c>
      <c r="E11" s="45">
        <f>IFERROR(ROUND('📦 PRODUCT INPUTS'!E4*MAX(0,1-'⚙ SETUP'!$B$21*100*(A11/('📦 PRODUCT INPUTS'!C4*1.4)-1)),0),0)</f>
        <v>2514</v>
      </c>
      <c r="F11" s="45">
        <f t="shared" si="1"/>
        <v>1528512</v>
      </c>
      <c r="G11" s="45">
        <f>'📦 PRODUCT INPUTS'!C4*E11+'📦 PRODUCT INPUTS'!D4</f>
        <v>1100320</v>
      </c>
      <c r="H11" s="45">
        <f t="shared" si="2"/>
        <v>428192</v>
      </c>
      <c r="I11" s="9" t="str">
        <f>IF(C11&lt;=0,"🔴 Loss",IF(H11&gt;='⚙ SETUP'!$B$13*E11,"🟢 Above target","🟡 Below target"))</f>
        <v>🟢 Above target</v>
      </c>
    </row>
    <row r="12" spans="1:9" ht="18" customHeight="1" x14ac:dyDescent="0.25">
      <c r="A12" s="43">
        <f>ROUND('📦 PRODUCT INPUTS'!C4*1.7,2)</f>
        <v>646</v>
      </c>
      <c r="B12" s="18">
        <f>A12*(1+'📦 PRODUCT INPUTS'!F4)</f>
        <v>762.28</v>
      </c>
      <c r="C12" s="18">
        <f>A12-'📦 PRODUCT INPUTS'!C4</f>
        <v>266</v>
      </c>
      <c r="D12" s="44">
        <f t="shared" si="0"/>
        <v>0.41176470588235292</v>
      </c>
      <c r="E12" s="45">
        <f>IFERROR(ROUND('📦 PRODUCT INPUTS'!E4*MAX(0,1-'⚙ SETUP'!$B$21*100*(A12/('📦 PRODUCT INPUTS'!C4*1.4)-1)),0),0)</f>
        <v>2171</v>
      </c>
      <c r="F12" s="45">
        <f t="shared" si="1"/>
        <v>1402466</v>
      </c>
      <c r="G12" s="45">
        <f>'📦 PRODUCT INPUTS'!C4*E12+'📦 PRODUCT INPUTS'!D4</f>
        <v>969980</v>
      </c>
      <c r="H12" s="45">
        <f t="shared" si="2"/>
        <v>432486</v>
      </c>
      <c r="I12" s="9" t="str">
        <f>IF(C12&lt;=0,"🔴 Loss",IF(H12&gt;='⚙ SETUP'!$B$13*E12,"🟢 Above target","🟡 Below target"))</f>
        <v>🟢 Above target</v>
      </c>
    </row>
    <row r="13" spans="1:9" ht="18" customHeight="1" x14ac:dyDescent="0.25">
      <c r="A13" s="43">
        <f>ROUND('📦 PRODUCT INPUTS'!C4*1.8,2)</f>
        <v>684</v>
      </c>
      <c r="B13" s="18">
        <f>A13*(1+'📦 PRODUCT INPUTS'!F4)</f>
        <v>807.12</v>
      </c>
      <c r="C13" s="18">
        <f>A13-'📦 PRODUCT INPUTS'!C4</f>
        <v>304</v>
      </c>
      <c r="D13" s="44">
        <f t="shared" si="0"/>
        <v>0.44444444444444442</v>
      </c>
      <c r="E13" s="45">
        <f>IFERROR(ROUND('📦 PRODUCT INPUTS'!E4*MAX(0,1-'⚙ SETUP'!$B$21*100*(A13/('📦 PRODUCT INPUTS'!C4*1.4)-1)),0),0)</f>
        <v>1829</v>
      </c>
      <c r="F13" s="45">
        <f t="shared" si="1"/>
        <v>1251036</v>
      </c>
      <c r="G13" s="45">
        <f>'📦 PRODUCT INPUTS'!C4*E13+'📦 PRODUCT INPUTS'!D4</f>
        <v>840020</v>
      </c>
      <c r="H13" s="45">
        <f t="shared" si="2"/>
        <v>411016</v>
      </c>
      <c r="I13" s="9" t="str">
        <f>IF(C13&lt;=0,"🔴 Loss",IF(H13&gt;='⚙ SETUP'!$B$13*E13,"🟢 Above target","🟡 Below target"))</f>
        <v>🟢 Above target</v>
      </c>
    </row>
    <row r="14" spans="1:9" ht="18" customHeight="1" x14ac:dyDescent="0.25">
      <c r="A14" s="43">
        <f>ROUND('📦 PRODUCT INPUTS'!C4*1.9,2)</f>
        <v>722</v>
      </c>
      <c r="B14" s="18">
        <f>A14*(1+'📦 PRODUCT INPUTS'!F4)</f>
        <v>851.95999999999992</v>
      </c>
      <c r="C14" s="18">
        <f>A14-'📦 PRODUCT INPUTS'!C4</f>
        <v>342</v>
      </c>
      <c r="D14" s="44">
        <f t="shared" si="0"/>
        <v>0.47368421052631576</v>
      </c>
      <c r="E14" s="45">
        <f>IFERROR(ROUND('📦 PRODUCT INPUTS'!E4*MAX(0,1-'⚙ SETUP'!$B$21*100*(A14/('📦 PRODUCT INPUTS'!C4*1.4)-1)),0),0)</f>
        <v>1486</v>
      </c>
      <c r="F14" s="45">
        <f t="shared" si="1"/>
        <v>1072892</v>
      </c>
      <c r="G14" s="45">
        <f>'📦 PRODUCT INPUTS'!C4*E14+'📦 PRODUCT INPUTS'!D4</f>
        <v>709680</v>
      </c>
      <c r="H14" s="45">
        <f t="shared" si="2"/>
        <v>363212</v>
      </c>
      <c r="I14" s="9" t="str">
        <f>IF(C14&lt;=0,"🔴 Loss",IF(H14&gt;='⚙ SETUP'!$B$13*E14,"🟢 Above target","🟡 Below target"))</f>
        <v>🟢 Above target</v>
      </c>
    </row>
    <row r="15" spans="1:9" ht="18" customHeight="1" x14ac:dyDescent="0.25">
      <c r="A15" s="43">
        <f>ROUND('📦 PRODUCT INPUTS'!C4*2,2)</f>
        <v>760</v>
      </c>
      <c r="B15" s="18">
        <f>A15*(1+'📦 PRODUCT INPUTS'!F4)</f>
        <v>896.8</v>
      </c>
      <c r="C15" s="18">
        <f>A15-'📦 PRODUCT INPUTS'!C4</f>
        <v>380</v>
      </c>
      <c r="D15" s="44">
        <f t="shared" si="0"/>
        <v>0.5</v>
      </c>
      <c r="E15" s="45">
        <f>IFERROR(ROUND('📦 PRODUCT INPUTS'!E4*MAX(0,1-'⚙ SETUP'!$B$21*100*(A15/('📦 PRODUCT INPUTS'!C4*1.4)-1)),0),0)</f>
        <v>1143</v>
      </c>
      <c r="F15" s="45">
        <f t="shared" si="1"/>
        <v>868680</v>
      </c>
      <c r="G15" s="45">
        <f>'📦 PRODUCT INPUTS'!C4*E15+'📦 PRODUCT INPUTS'!D4</f>
        <v>579340</v>
      </c>
      <c r="H15" s="45">
        <f t="shared" si="2"/>
        <v>289340</v>
      </c>
      <c r="I15" s="9" t="str">
        <f>IF(C15&lt;=0,"🔴 Loss",IF(H15&gt;='⚙ SETUP'!$B$13*E15,"🟢 Above target","🟡 Below target"))</f>
        <v>🟢 Above target</v>
      </c>
    </row>
    <row r="16" spans="1:9" ht="18" customHeight="1" x14ac:dyDescent="0.25">
      <c r="A16" s="43">
        <f>ROUND('📦 PRODUCT INPUTS'!C4*2.2,2)</f>
        <v>836</v>
      </c>
      <c r="B16" s="18">
        <f>A16*(1+'📦 PRODUCT INPUTS'!F4)</f>
        <v>986.4799999999999</v>
      </c>
      <c r="C16" s="18">
        <f>A16-'📦 PRODUCT INPUTS'!C4</f>
        <v>456</v>
      </c>
      <c r="D16" s="44">
        <f t="shared" si="0"/>
        <v>0.54545454545454541</v>
      </c>
      <c r="E16" s="45">
        <f>IFERROR(ROUND('📦 PRODUCT INPUTS'!E4*MAX(0,1-'⚙ SETUP'!$B$21*100*(A16/('📦 PRODUCT INPUTS'!C4*1.4)-1)),0),0)</f>
        <v>457</v>
      </c>
      <c r="F16" s="45">
        <f t="shared" si="1"/>
        <v>382052</v>
      </c>
      <c r="G16" s="45">
        <f>'📦 PRODUCT INPUTS'!C4*E16+'📦 PRODUCT INPUTS'!D4</f>
        <v>318660</v>
      </c>
      <c r="H16" s="45">
        <f t="shared" si="2"/>
        <v>63392</v>
      </c>
      <c r="I16" s="9" t="str">
        <f>IF(C16&lt;=0,"🔴 Loss",IF(H16&gt;='⚙ SETUP'!$B$13*E16,"🟢 Above target","🟡 Below target"))</f>
        <v>🟢 Above target</v>
      </c>
    </row>
    <row r="17" spans="1:9" ht="13.5" customHeight="1" x14ac:dyDescent="0.25">
      <c r="A17" s="79" t="s">
        <v>164</v>
      </c>
      <c r="B17" s="79"/>
      <c r="C17" s="79"/>
      <c r="D17" s="79"/>
      <c r="E17" s="79"/>
      <c r="F17" s="79"/>
      <c r="G17" s="79"/>
      <c r="H17" s="79"/>
      <c r="I17" s="79"/>
    </row>
    <row r="18" spans="1:9" ht="27" customHeight="1" x14ac:dyDescent="0.25">
      <c r="A18" s="79" t="s">
        <v>165</v>
      </c>
      <c r="B18" s="79"/>
      <c r="C18" s="79"/>
      <c r="D18" s="79"/>
      <c r="E18" s="79"/>
      <c r="F18" s="79"/>
      <c r="G18" s="79"/>
      <c r="H18" s="79"/>
      <c r="I18" s="79"/>
    </row>
    <row r="19" spans="1:9" ht="21.75" customHeight="1" x14ac:dyDescent="0.25">
      <c r="A19" s="93" t="s">
        <v>166</v>
      </c>
      <c r="B19" s="93"/>
      <c r="C19" s="93"/>
      <c r="D19" s="93"/>
      <c r="E19" s="93"/>
      <c r="F19" s="93"/>
      <c r="G19" s="93"/>
      <c r="H19" s="93"/>
      <c r="I19" s="93"/>
    </row>
    <row r="20" spans="1:9" ht="18" customHeight="1" x14ac:dyDescent="0.25">
      <c r="A20" s="43">
        <f>ROUND('📦 PRODUCT INPUTS'!C5*1.05,2)</f>
        <v>220.5</v>
      </c>
      <c r="B20" s="18">
        <f>A20*(1+'📦 PRODUCT INPUTS'!F5)</f>
        <v>246.96000000000004</v>
      </c>
      <c r="C20" s="18">
        <f>A20-'📦 PRODUCT INPUTS'!C5</f>
        <v>10.5</v>
      </c>
      <c r="D20" s="44">
        <f t="shared" ref="D20:D31" si="3">IFERROR(C20/A20,0)</f>
        <v>4.7619047619047616E-2</v>
      </c>
      <c r="E20" s="45">
        <f>IFERROR(ROUND('📦 PRODUCT INPUTS'!E5*MAX(0,1-'⚙ SETUP'!$B$21*100*(A20/('📦 PRODUCT INPUTS'!C5*1.4)-1)),0),0)</f>
        <v>7563</v>
      </c>
      <c r="F20" s="45">
        <f t="shared" ref="F20:F31" si="4">A20*E20</f>
        <v>1667641.5</v>
      </c>
      <c r="G20" s="45">
        <f>'📦 PRODUCT INPUTS'!C5*E20+'📦 PRODUCT INPUTS'!D5</f>
        <v>1660230</v>
      </c>
      <c r="H20" s="45">
        <f t="shared" ref="H20:H31" si="5">F20-G20</f>
        <v>7411.5</v>
      </c>
      <c r="I20" s="9" t="str">
        <f>IF(C20&lt;=0,"🔴 Loss",IF(H20&gt;='⚙ SETUP'!$B$13*E20,"🟢 Above target","🟡 Below target"))</f>
        <v>🟡 Below target</v>
      </c>
    </row>
    <row r="21" spans="1:9" ht="18" customHeight="1" x14ac:dyDescent="0.25">
      <c r="A21" s="43">
        <f>ROUND('📦 PRODUCT INPUTS'!C5*1.1,2)</f>
        <v>231</v>
      </c>
      <c r="B21" s="18">
        <f>A21*(1+'📦 PRODUCT INPUTS'!F5)</f>
        <v>258.72000000000003</v>
      </c>
      <c r="C21" s="18">
        <f>A21-'📦 PRODUCT INPUTS'!C5</f>
        <v>21</v>
      </c>
      <c r="D21" s="44">
        <f t="shared" si="3"/>
        <v>9.0909090909090912E-2</v>
      </c>
      <c r="E21" s="45">
        <f>IFERROR(ROUND('📦 PRODUCT INPUTS'!E5*MAX(0,1-'⚙ SETUP'!$B$21*100*(A21/('📦 PRODUCT INPUTS'!C5*1.4)-1)),0),0)</f>
        <v>7268</v>
      </c>
      <c r="F21" s="45">
        <f t="shared" si="4"/>
        <v>1678908</v>
      </c>
      <c r="G21" s="45">
        <f>'📦 PRODUCT INPUTS'!C5*E21+'📦 PRODUCT INPUTS'!D5</f>
        <v>1598280</v>
      </c>
      <c r="H21" s="45">
        <f t="shared" si="5"/>
        <v>80628</v>
      </c>
      <c r="I21" s="9" t="str">
        <f>IF(C21&lt;=0,"🔴 Loss",IF(H21&gt;='⚙ SETUP'!$B$13*E21,"🟢 Above target","🟡 Below target"))</f>
        <v>🟡 Below target</v>
      </c>
    </row>
    <row r="22" spans="1:9" ht="18" customHeight="1" x14ac:dyDescent="0.25">
      <c r="A22" s="43">
        <f>ROUND('📦 PRODUCT INPUTS'!C5*1.2,2)</f>
        <v>252</v>
      </c>
      <c r="B22" s="18">
        <f>A22*(1+'📦 PRODUCT INPUTS'!F5)</f>
        <v>282.24</v>
      </c>
      <c r="C22" s="18">
        <f>A22-'📦 PRODUCT INPUTS'!C5</f>
        <v>42</v>
      </c>
      <c r="D22" s="44">
        <f t="shared" si="3"/>
        <v>0.16666666666666666</v>
      </c>
      <c r="E22" s="45">
        <f>IFERROR(ROUND('📦 PRODUCT INPUTS'!E5*MAX(0,1-'⚙ SETUP'!$B$21*100*(A22/('📦 PRODUCT INPUTS'!C5*1.4)-1)),0),0)</f>
        <v>6679</v>
      </c>
      <c r="F22" s="45">
        <f t="shared" si="4"/>
        <v>1683108</v>
      </c>
      <c r="G22" s="45">
        <f>'📦 PRODUCT INPUTS'!C5*E22+'📦 PRODUCT INPUTS'!D5</f>
        <v>1474590</v>
      </c>
      <c r="H22" s="45">
        <f t="shared" si="5"/>
        <v>208518</v>
      </c>
      <c r="I22" s="9" t="str">
        <f>IF(C22&lt;=0,"🔴 Loss",IF(H22&gt;='⚙ SETUP'!$B$13*E22,"🟢 Above target","🟡 Below target"))</f>
        <v>🟡 Below target</v>
      </c>
    </row>
    <row r="23" spans="1:9" ht="18" customHeight="1" x14ac:dyDescent="0.25">
      <c r="A23" s="43">
        <f>ROUND('📦 PRODUCT INPUTS'!C5*1.3,2)</f>
        <v>273</v>
      </c>
      <c r="B23" s="18">
        <f>A23*(1+'📦 PRODUCT INPUTS'!F5)</f>
        <v>305.76000000000005</v>
      </c>
      <c r="C23" s="18">
        <f>A23-'📦 PRODUCT INPUTS'!C5</f>
        <v>63</v>
      </c>
      <c r="D23" s="44">
        <f t="shared" si="3"/>
        <v>0.23076923076923078</v>
      </c>
      <c r="E23" s="45">
        <f>IFERROR(ROUND('📦 PRODUCT INPUTS'!E5*MAX(0,1-'⚙ SETUP'!$B$21*100*(A23/('📦 PRODUCT INPUTS'!C5*1.4)-1)),0),0)</f>
        <v>6089</v>
      </c>
      <c r="F23" s="45">
        <f t="shared" si="4"/>
        <v>1662297</v>
      </c>
      <c r="G23" s="45">
        <f>'📦 PRODUCT INPUTS'!C5*E23+'📦 PRODUCT INPUTS'!D5</f>
        <v>1350690</v>
      </c>
      <c r="H23" s="45">
        <f t="shared" si="5"/>
        <v>311607</v>
      </c>
      <c r="I23" s="9" t="str">
        <f>IF(C23&lt;=0,"🔴 Loss",IF(H23&gt;='⚙ SETUP'!$B$13*E23,"🟢 Above target","🟡 Below target"))</f>
        <v>🟡 Below target</v>
      </c>
    </row>
    <row r="24" spans="1:9" ht="18" customHeight="1" x14ac:dyDescent="0.25">
      <c r="A24" s="43">
        <f>ROUND('📦 PRODUCT INPUTS'!C5*1.4,2)</f>
        <v>294</v>
      </c>
      <c r="B24" s="18">
        <f>A24*(1+'📦 PRODUCT INPUTS'!F5)</f>
        <v>329.28000000000003</v>
      </c>
      <c r="C24" s="12">
        <f>A24-'📦 PRODUCT INPUTS'!C5</f>
        <v>84</v>
      </c>
      <c r="D24" s="46">
        <f t="shared" si="3"/>
        <v>0.2857142857142857</v>
      </c>
      <c r="E24" s="47">
        <f>IFERROR(ROUND('📦 PRODUCT INPUTS'!E5*MAX(0,1-'⚙ SETUP'!$B$21*100*(A24/('📦 PRODUCT INPUTS'!C5*1.4)-1)),0),0)</f>
        <v>5500</v>
      </c>
      <c r="F24" s="47">
        <f t="shared" si="4"/>
        <v>1617000</v>
      </c>
      <c r="G24" s="47">
        <f>'📦 PRODUCT INPUTS'!C5*E24+'📦 PRODUCT INPUTS'!D5</f>
        <v>1227000</v>
      </c>
      <c r="H24" s="47">
        <f t="shared" si="5"/>
        <v>390000</v>
      </c>
      <c r="I24" s="48" t="str">
        <f>IF(C24&lt;=0,"🔴 Loss",IF(H24&gt;='⚙ SETUP'!$B$13*E24,"🟢 Above target","🟡 Below target"))</f>
        <v>🟡 Below target</v>
      </c>
    </row>
    <row r="25" spans="1:9" ht="18" customHeight="1" x14ac:dyDescent="0.25">
      <c r="A25" s="43">
        <f>ROUND('📦 PRODUCT INPUTS'!C5*1.5,2)</f>
        <v>315</v>
      </c>
      <c r="B25" s="18">
        <f>A25*(1+'📦 PRODUCT INPUTS'!F5)</f>
        <v>352.8</v>
      </c>
      <c r="C25" s="18">
        <f>A25-'📦 PRODUCT INPUTS'!C5</f>
        <v>105</v>
      </c>
      <c r="D25" s="44">
        <f t="shared" si="3"/>
        <v>0.33333333333333331</v>
      </c>
      <c r="E25" s="45">
        <f>IFERROR(ROUND('📦 PRODUCT INPUTS'!E5*MAX(0,1-'⚙ SETUP'!$B$21*100*(A25/('📦 PRODUCT INPUTS'!C5*1.4)-1)),0),0)</f>
        <v>4911</v>
      </c>
      <c r="F25" s="45">
        <f t="shared" si="4"/>
        <v>1546965</v>
      </c>
      <c r="G25" s="45">
        <f>'📦 PRODUCT INPUTS'!C5*E25+'📦 PRODUCT INPUTS'!D5</f>
        <v>1103310</v>
      </c>
      <c r="H25" s="45">
        <f t="shared" si="5"/>
        <v>443655</v>
      </c>
      <c r="I25" s="9" t="str">
        <f>IF(C25&lt;=0,"🔴 Loss",IF(H25&gt;='⚙ SETUP'!$B$13*E25,"🟢 Above target","🟡 Below target"))</f>
        <v>🟢 Above target</v>
      </c>
    </row>
    <row r="26" spans="1:9" ht="18" customHeight="1" x14ac:dyDescent="0.25">
      <c r="A26" s="43">
        <f>ROUND('📦 PRODUCT INPUTS'!C5*1.6,2)</f>
        <v>336</v>
      </c>
      <c r="B26" s="18">
        <f>A26*(1+'📦 PRODUCT INPUTS'!F5)</f>
        <v>376.32000000000005</v>
      </c>
      <c r="C26" s="18">
        <f>A26-'📦 PRODUCT INPUTS'!C5</f>
        <v>126</v>
      </c>
      <c r="D26" s="44">
        <f t="shared" si="3"/>
        <v>0.375</v>
      </c>
      <c r="E26" s="45">
        <f>IFERROR(ROUND('📦 PRODUCT INPUTS'!E5*MAX(0,1-'⚙ SETUP'!$B$21*100*(A26/('📦 PRODUCT INPUTS'!C5*1.4)-1)),0),0)</f>
        <v>4321</v>
      </c>
      <c r="F26" s="45">
        <f t="shared" si="4"/>
        <v>1451856</v>
      </c>
      <c r="G26" s="45">
        <f>'📦 PRODUCT INPUTS'!C5*E26+'📦 PRODUCT INPUTS'!D5</f>
        <v>979410</v>
      </c>
      <c r="H26" s="45">
        <f t="shared" si="5"/>
        <v>472446</v>
      </c>
      <c r="I26" s="9" t="str">
        <f>IF(C26&lt;=0,"🔴 Loss",IF(H26&gt;='⚙ SETUP'!$B$13*E26,"🟢 Above target","🟡 Below target"))</f>
        <v>🟢 Above target</v>
      </c>
    </row>
    <row r="27" spans="1:9" ht="18" customHeight="1" x14ac:dyDescent="0.25">
      <c r="A27" s="43">
        <f>ROUND('📦 PRODUCT INPUTS'!C5*1.7,2)</f>
        <v>357</v>
      </c>
      <c r="B27" s="18">
        <f>A27*(1+'📦 PRODUCT INPUTS'!F5)</f>
        <v>399.84000000000003</v>
      </c>
      <c r="C27" s="18">
        <f>A27-'📦 PRODUCT INPUTS'!C5</f>
        <v>147</v>
      </c>
      <c r="D27" s="44">
        <f t="shared" si="3"/>
        <v>0.41176470588235292</v>
      </c>
      <c r="E27" s="45">
        <f>IFERROR(ROUND('📦 PRODUCT INPUTS'!E5*MAX(0,1-'⚙ SETUP'!$B$21*100*(A27/('📦 PRODUCT INPUTS'!C5*1.4)-1)),0),0)</f>
        <v>3732</v>
      </c>
      <c r="F27" s="45">
        <f t="shared" si="4"/>
        <v>1332324</v>
      </c>
      <c r="G27" s="45">
        <f>'📦 PRODUCT INPUTS'!C5*E27+'📦 PRODUCT INPUTS'!D5</f>
        <v>855720</v>
      </c>
      <c r="H27" s="45">
        <f t="shared" si="5"/>
        <v>476604</v>
      </c>
      <c r="I27" s="9" t="str">
        <f>IF(C27&lt;=0,"🔴 Loss",IF(H27&gt;='⚙ SETUP'!$B$13*E27,"🟢 Above target","🟡 Below target"))</f>
        <v>🟢 Above target</v>
      </c>
    </row>
    <row r="28" spans="1:9" ht="18" customHeight="1" x14ac:dyDescent="0.25">
      <c r="A28" s="43">
        <f>ROUND('📦 PRODUCT INPUTS'!C5*1.8,2)</f>
        <v>378</v>
      </c>
      <c r="B28" s="18">
        <f>A28*(1+'📦 PRODUCT INPUTS'!F5)</f>
        <v>423.36</v>
      </c>
      <c r="C28" s="18">
        <f>A28-'📦 PRODUCT INPUTS'!C5</f>
        <v>168</v>
      </c>
      <c r="D28" s="44">
        <f t="shared" si="3"/>
        <v>0.44444444444444442</v>
      </c>
      <c r="E28" s="45">
        <f>IFERROR(ROUND('📦 PRODUCT INPUTS'!E5*MAX(0,1-'⚙ SETUP'!$B$21*100*(A28/('📦 PRODUCT INPUTS'!C5*1.4)-1)),0),0)</f>
        <v>3143</v>
      </c>
      <c r="F28" s="45">
        <f t="shared" si="4"/>
        <v>1188054</v>
      </c>
      <c r="G28" s="45">
        <f>'📦 PRODUCT INPUTS'!C5*E28+'📦 PRODUCT INPUTS'!D5</f>
        <v>732030</v>
      </c>
      <c r="H28" s="45">
        <f t="shared" si="5"/>
        <v>456024</v>
      </c>
      <c r="I28" s="9" t="str">
        <f>IF(C28&lt;=0,"🔴 Loss",IF(H28&gt;='⚙ SETUP'!$B$13*E28,"🟢 Above target","🟡 Below target"))</f>
        <v>🟢 Above target</v>
      </c>
    </row>
    <row r="29" spans="1:9" ht="18" customHeight="1" x14ac:dyDescent="0.25">
      <c r="A29" s="43">
        <f>ROUND('📦 PRODUCT INPUTS'!C5*1.9,2)</f>
        <v>399</v>
      </c>
      <c r="B29" s="18">
        <f>A29*(1+'📦 PRODUCT INPUTS'!F5)</f>
        <v>446.88000000000005</v>
      </c>
      <c r="C29" s="18">
        <f>A29-'📦 PRODUCT INPUTS'!C5</f>
        <v>189</v>
      </c>
      <c r="D29" s="44">
        <f t="shared" si="3"/>
        <v>0.47368421052631576</v>
      </c>
      <c r="E29" s="45">
        <f>IFERROR(ROUND('📦 PRODUCT INPUTS'!E5*MAX(0,1-'⚙ SETUP'!$B$21*100*(A29/('📦 PRODUCT INPUTS'!C5*1.4)-1)),0),0)</f>
        <v>2554</v>
      </c>
      <c r="F29" s="45">
        <f t="shared" si="4"/>
        <v>1019046</v>
      </c>
      <c r="G29" s="45">
        <f>'📦 PRODUCT INPUTS'!C5*E29+'📦 PRODUCT INPUTS'!D5</f>
        <v>608340</v>
      </c>
      <c r="H29" s="45">
        <f t="shared" si="5"/>
        <v>410706</v>
      </c>
      <c r="I29" s="9" t="str">
        <f>IF(C29&lt;=0,"🔴 Loss",IF(H29&gt;='⚙ SETUP'!$B$13*E29,"🟢 Above target","🟡 Below target"))</f>
        <v>🟢 Above target</v>
      </c>
    </row>
    <row r="30" spans="1:9" ht="18" customHeight="1" x14ac:dyDescent="0.25">
      <c r="A30" s="43">
        <f>ROUND('📦 PRODUCT INPUTS'!C5*2,2)</f>
        <v>420</v>
      </c>
      <c r="B30" s="18">
        <f>A30*(1+'📦 PRODUCT INPUTS'!F5)</f>
        <v>470.40000000000003</v>
      </c>
      <c r="C30" s="18">
        <f>A30-'📦 PRODUCT INPUTS'!C5</f>
        <v>210</v>
      </c>
      <c r="D30" s="44">
        <f t="shared" si="3"/>
        <v>0.5</v>
      </c>
      <c r="E30" s="45">
        <f>IFERROR(ROUND('📦 PRODUCT INPUTS'!E5*MAX(0,1-'⚙ SETUP'!$B$21*100*(A30/('📦 PRODUCT INPUTS'!C5*1.4)-1)),0),0)</f>
        <v>1964</v>
      </c>
      <c r="F30" s="45">
        <f t="shared" si="4"/>
        <v>824880</v>
      </c>
      <c r="G30" s="45">
        <f>'📦 PRODUCT INPUTS'!C5*E30+'📦 PRODUCT INPUTS'!D5</f>
        <v>484440</v>
      </c>
      <c r="H30" s="45">
        <f t="shared" si="5"/>
        <v>340440</v>
      </c>
      <c r="I30" s="9" t="str">
        <f>IF(C30&lt;=0,"🔴 Loss",IF(H30&gt;='⚙ SETUP'!$B$13*E30,"🟢 Above target","🟡 Below target"))</f>
        <v>🟢 Above target</v>
      </c>
    </row>
    <row r="31" spans="1:9" ht="18" customHeight="1" x14ac:dyDescent="0.25">
      <c r="A31" s="43">
        <f>ROUND('📦 PRODUCT INPUTS'!C5*2.2,2)</f>
        <v>462</v>
      </c>
      <c r="B31" s="18">
        <f>A31*(1+'📦 PRODUCT INPUTS'!F5)</f>
        <v>517.44000000000005</v>
      </c>
      <c r="C31" s="18">
        <f>A31-'📦 PRODUCT INPUTS'!C5</f>
        <v>252</v>
      </c>
      <c r="D31" s="44">
        <f t="shared" si="3"/>
        <v>0.54545454545454541</v>
      </c>
      <c r="E31" s="45">
        <f>IFERROR(ROUND('📦 PRODUCT INPUTS'!E5*MAX(0,1-'⚙ SETUP'!$B$21*100*(A31/('📦 PRODUCT INPUTS'!C5*1.4)-1)),0),0)</f>
        <v>786</v>
      </c>
      <c r="F31" s="45">
        <f t="shared" si="4"/>
        <v>363132</v>
      </c>
      <c r="G31" s="45">
        <f>'📦 PRODUCT INPUTS'!C5*E31+'📦 PRODUCT INPUTS'!D5</f>
        <v>237060</v>
      </c>
      <c r="H31" s="45">
        <f t="shared" si="5"/>
        <v>126072</v>
      </c>
      <c r="I31" s="9" t="str">
        <f>IF(C31&lt;=0,"🔴 Loss",IF(H31&gt;='⚙ SETUP'!$B$13*E31,"🟢 Above target","🟡 Below target"))</f>
        <v>🟢 Above target</v>
      </c>
    </row>
    <row r="32" spans="1:9" ht="13.5" customHeight="1" x14ac:dyDescent="0.25">
      <c r="A32" s="79" t="s">
        <v>164</v>
      </c>
      <c r="B32" s="79"/>
      <c r="C32" s="79"/>
      <c r="D32" s="79"/>
      <c r="E32" s="79"/>
      <c r="F32" s="79"/>
      <c r="G32" s="79"/>
      <c r="H32" s="79"/>
      <c r="I32" s="79"/>
    </row>
    <row r="33" spans="1:9" ht="35.25" customHeight="1" x14ac:dyDescent="0.25">
      <c r="A33" s="79" t="s">
        <v>165</v>
      </c>
      <c r="B33" s="79"/>
      <c r="C33" s="79"/>
      <c r="D33" s="79"/>
      <c r="E33" s="79"/>
      <c r="F33" s="79"/>
      <c r="G33" s="79"/>
      <c r="H33" s="79"/>
      <c r="I33" s="79"/>
    </row>
    <row r="34" spans="1:9" ht="21.75" customHeight="1" x14ac:dyDescent="0.25">
      <c r="A34" s="93" t="s">
        <v>167</v>
      </c>
      <c r="B34" s="93"/>
      <c r="C34" s="93"/>
      <c r="D34" s="93"/>
      <c r="E34" s="93"/>
      <c r="F34" s="93"/>
      <c r="G34" s="93"/>
      <c r="H34" s="93"/>
      <c r="I34" s="93"/>
    </row>
    <row r="35" spans="1:9" ht="18" customHeight="1" x14ac:dyDescent="0.25">
      <c r="A35" s="43">
        <f>ROUND('📦 PRODUCT INPUTS'!C6*1.05,2)</f>
        <v>714</v>
      </c>
      <c r="B35" s="18">
        <f>A35*(1+'📦 PRODUCT INPUTS'!F6)</f>
        <v>842.52</v>
      </c>
      <c r="C35" s="18">
        <f>A35-'📦 PRODUCT INPUTS'!C6</f>
        <v>34</v>
      </c>
      <c r="D35" s="44">
        <f t="shared" ref="D35:D46" si="6">IFERROR(C35/A35,0)</f>
        <v>4.7619047619047616E-2</v>
      </c>
      <c r="E35" s="45">
        <f>IFERROR(ROUND('📦 PRODUCT INPUTS'!E6*MAX(0,1-'⚙ SETUP'!$B$21*100*(A35/('📦 PRODUCT INPUTS'!C6*1.4)-1)),0),0)</f>
        <v>2475</v>
      </c>
      <c r="F35" s="45">
        <f t="shared" ref="F35:F46" si="7">A35*E35</f>
        <v>1767150</v>
      </c>
      <c r="G35" s="45">
        <f>'📦 PRODUCT INPUTS'!C6*E35+'📦 PRODUCT INPUTS'!D6</f>
        <v>1903000</v>
      </c>
      <c r="H35" s="45">
        <f t="shared" ref="H35:H46" si="8">F35-G35</f>
        <v>-135850</v>
      </c>
      <c r="I35" s="9" t="str">
        <f>IF(C35&lt;=0,"🔴 Loss",IF(H35&gt;='⚙ SETUP'!$B$13*E35,"🟢 Above target","🟡 Below target"))</f>
        <v>🟡 Below target</v>
      </c>
    </row>
    <row r="36" spans="1:9" ht="18" customHeight="1" x14ac:dyDescent="0.25">
      <c r="A36" s="43">
        <f>ROUND('📦 PRODUCT INPUTS'!C6*1.1,2)</f>
        <v>748</v>
      </c>
      <c r="B36" s="18">
        <f>A36*(1+'📦 PRODUCT INPUTS'!F6)</f>
        <v>882.64</v>
      </c>
      <c r="C36" s="18">
        <f>A36-'📦 PRODUCT INPUTS'!C6</f>
        <v>68</v>
      </c>
      <c r="D36" s="44">
        <f t="shared" si="6"/>
        <v>9.0909090909090912E-2</v>
      </c>
      <c r="E36" s="45">
        <f>IFERROR(ROUND('📦 PRODUCT INPUTS'!E6*MAX(0,1-'⚙ SETUP'!$B$21*100*(A36/('📦 PRODUCT INPUTS'!C6*1.4)-1)),0),0)</f>
        <v>2379</v>
      </c>
      <c r="F36" s="45">
        <f t="shared" si="7"/>
        <v>1779492</v>
      </c>
      <c r="G36" s="45">
        <f>'📦 PRODUCT INPUTS'!C6*E36+'📦 PRODUCT INPUTS'!D6</f>
        <v>1837720</v>
      </c>
      <c r="H36" s="45">
        <f t="shared" si="8"/>
        <v>-58228</v>
      </c>
      <c r="I36" s="9" t="str">
        <f>IF(C36&lt;=0,"🔴 Loss",IF(H36&gt;='⚙ SETUP'!$B$13*E36,"🟢 Above target","🟡 Below target"))</f>
        <v>🟡 Below target</v>
      </c>
    </row>
    <row r="37" spans="1:9" ht="18" customHeight="1" x14ac:dyDescent="0.25">
      <c r="A37" s="43">
        <f>ROUND('📦 PRODUCT INPUTS'!C6*1.2,2)</f>
        <v>816</v>
      </c>
      <c r="B37" s="18">
        <f>A37*(1+'📦 PRODUCT INPUTS'!F6)</f>
        <v>962.88</v>
      </c>
      <c r="C37" s="18">
        <f>A37-'📦 PRODUCT INPUTS'!C6</f>
        <v>136</v>
      </c>
      <c r="D37" s="44">
        <f t="shared" si="6"/>
        <v>0.16666666666666666</v>
      </c>
      <c r="E37" s="45">
        <f>IFERROR(ROUND('📦 PRODUCT INPUTS'!E6*MAX(0,1-'⚙ SETUP'!$B$21*100*(A37/('📦 PRODUCT INPUTS'!C6*1.4)-1)),0),0)</f>
        <v>2186</v>
      </c>
      <c r="F37" s="45">
        <f t="shared" si="7"/>
        <v>1783776</v>
      </c>
      <c r="G37" s="45">
        <f>'📦 PRODUCT INPUTS'!C6*E37+'📦 PRODUCT INPUTS'!D6</f>
        <v>1706480</v>
      </c>
      <c r="H37" s="45">
        <f t="shared" si="8"/>
        <v>77296</v>
      </c>
      <c r="I37" s="9" t="str">
        <f>IF(C37&lt;=0,"🔴 Loss",IF(H37&gt;='⚙ SETUP'!$B$13*E37,"🟢 Above target","🟡 Below target"))</f>
        <v>🟡 Below target</v>
      </c>
    </row>
    <row r="38" spans="1:9" ht="18" customHeight="1" x14ac:dyDescent="0.25">
      <c r="A38" s="43">
        <f>ROUND('📦 PRODUCT INPUTS'!C6*1.3,2)</f>
        <v>884</v>
      </c>
      <c r="B38" s="18">
        <f>A38*(1+'📦 PRODUCT INPUTS'!F6)</f>
        <v>1043.1199999999999</v>
      </c>
      <c r="C38" s="18">
        <f>A38-'📦 PRODUCT INPUTS'!C6</f>
        <v>204</v>
      </c>
      <c r="D38" s="44">
        <f t="shared" si="6"/>
        <v>0.23076923076923078</v>
      </c>
      <c r="E38" s="45">
        <f>IFERROR(ROUND('📦 PRODUCT INPUTS'!E6*MAX(0,1-'⚙ SETUP'!$B$21*100*(A38/('📦 PRODUCT INPUTS'!C6*1.4)-1)),0),0)</f>
        <v>1993</v>
      </c>
      <c r="F38" s="45">
        <f t="shared" si="7"/>
        <v>1761812</v>
      </c>
      <c r="G38" s="45">
        <f>'📦 PRODUCT INPUTS'!C6*E38+'📦 PRODUCT INPUTS'!D6</f>
        <v>1575240</v>
      </c>
      <c r="H38" s="45">
        <f t="shared" si="8"/>
        <v>186572</v>
      </c>
      <c r="I38" s="9" t="str">
        <f>IF(C38&lt;=0,"🔴 Loss",IF(H38&gt;='⚙ SETUP'!$B$13*E38,"🟢 Above target","🟡 Below target"))</f>
        <v>🟢 Above target</v>
      </c>
    </row>
    <row r="39" spans="1:9" ht="18" customHeight="1" x14ac:dyDescent="0.25">
      <c r="A39" s="43">
        <f>ROUND('📦 PRODUCT INPUTS'!C6*1.4,2)</f>
        <v>952</v>
      </c>
      <c r="B39" s="18">
        <f>A39*(1+'📦 PRODUCT INPUTS'!F6)</f>
        <v>1123.3599999999999</v>
      </c>
      <c r="C39" s="12">
        <f>A39-'📦 PRODUCT INPUTS'!C6</f>
        <v>272</v>
      </c>
      <c r="D39" s="46">
        <f t="shared" si="6"/>
        <v>0.2857142857142857</v>
      </c>
      <c r="E39" s="47">
        <f>IFERROR(ROUND('📦 PRODUCT INPUTS'!E6*MAX(0,1-'⚙ SETUP'!$B$21*100*(A39/('📦 PRODUCT INPUTS'!C6*1.4)-1)),0),0)</f>
        <v>1800</v>
      </c>
      <c r="F39" s="47">
        <f t="shared" si="7"/>
        <v>1713600</v>
      </c>
      <c r="G39" s="47">
        <f>'📦 PRODUCT INPUTS'!C6*E39+'📦 PRODUCT INPUTS'!D6</f>
        <v>1444000</v>
      </c>
      <c r="H39" s="47">
        <f t="shared" si="8"/>
        <v>269600</v>
      </c>
      <c r="I39" s="48" t="str">
        <f>IF(C39&lt;=0,"🔴 Loss",IF(H39&gt;='⚙ SETUP'!$B$13*E39,"🟢 Above target","🟡 Below target"))</f>
        <v>🟢 Above target</v>
      </c>
    </row>
    <row r="40" spans="1:9" ht="18" customHeight="1" x14ac:dyDescent="0.25">
      <c r="A40" s="43">
        <f>ROUND('📦 PRODUCT INPUTS'!C6*1.5,2)</f>
        <v>1020</v>
      </c>
      <c r="B40" s="18">
        <f>A40*(1+'📦 PRODUCT INPUTS'!F6)</f>
        <v>1203.5999999999999</v>
      </c>
      <c r="C40" s="18">
        <f>A40-'📦 PRODUCT INPUTS'!C6</f>
        <v>340</v>
      </c>
      <c r="D40" s="44">
        <f t="shared" si="6"/>
        <v>0.33333333333333331</v>
      </c>
      <c r="E40" s="45">
        <f>IFERROR(ROUND('📦 PRODUCT INPUTS'!E6*MAX(0,1-'⚙ SETUP'!$B$21*100*(A40/('📦 PRODUCT INPUTS'!C6*1.4)-1)),0),0)</f>
        <v>1607</v>
      </c>
      <c r="F40" s="45">
        <f t="shared" si="7"/>
        <v>1639140</v>
      </c>
      <c r="G40" s="45">
        <f>'📦 PRODUCT INPUTS'!C6*E40+'📦 PRODUCT INPUTS'!D6</f>
        <v>1312760</v>
      </c>
      <c r="H40" s="45">
        <f t="shared" si="8"/>
        <v>326380</v>
      </c>
      <c r="I40" s="9" t="str">
        <f>IF(C40&lt;=0,"🔴 Loss",IF(H40&gt;='⚙ SETUP'!$B$13*E40,"🟢 Above target","🟡 Below target"))</f>
        <v>🟢 Above target</v>
      </c>
    </row>
    <row r="41" spans="1:9" ht="18" customHeight="1" x14ac:dyDescent="0.25">
      <c r="A41" s="43">
        <f>ROUND('📦 PRODUCT INPUTS'!C6*1.6,2)</f>
        <v>1088</v>
      </c>
      <c r="B41" s="18">
        <f>A41*(1+'📦 PRODUCT INPUTS'!F6)</f>
        <v>1283.8399999999999</v>
      </c>
      <c r="C41" s="18">
        <f>A41-'📦 PRODUCT INPUTS'!C6</f>
        <v>408</v>
      </c>
      <c r="D41" s="44">
        <f t="shared" si="6"/>
        <v>0.375</v>
      </c>
      <c r="E41" s="45">
        <f>IFERROR(ROUND('📦 PRODUCT INPUTS'!E6*MAX(0,1-'⚙ SETUP'!$B$21*100*(A41/('📦 PRODUCT INPUTS'!C6*1.4)-1)),0),0)</f>
        <v>1414</v>
      </c>
      <c r="F41" s="45">
        <f t="shared" si="7"/>
        <v>1538432</v>
      </c>
      <c r="G41" s="45">
        <f>'📦 PRODUCT INPUTS'!C6*E41+'📦 PRODUCT INPUTS'!D6</f>
        <v>1181520</v>
      </c>
      <c r="H41" s="45">
        <f t="shared" si="8"/>
        <v>356912</v>
      </c>
      <c r="I41" s="9" t="str">
        <f>IF(C41&lt;=0,"🔴 Loss",IF(H41&gt;='⚙ SETUP'!$B$13*E41,"🟢 Above target","🟡 Below target"))</f>
        <v>🟢 Above target</v>
      </c>
    </row>
    <row r="42" spans="1:9" ht="18" customHeight="1" x14ac:dyDescent="0.25">
      <c r="A42" s="43">
        <f>ROUND('📦 PRODUCT INPUTS'!C6*1.7,2)</f>
        <v>1156</v>
      </c>
      <c r="B42" s="18">
        <f>A42*(1+'📦 PRODUCT INPUTS'!F6)</f>
        <v>1364.08</v>
      </c>
      <c r="C42" s="18">
        <f>A42-'📦 PRODUCT INPUTS'!C6</f>
        <v>476</v>
      </c>
      <c r="D42" s="44">
        <f t="shared" si="6"/>
        <v>0.41176470588235292</v>
      </c>
      <c r="E42" s="45">
        <f>IFERROR(ROUND('📦 PRODUCT INPUTS'!E6*MAX(0,1-'⚙ SETUP'!$B$21*100*(A42/('📦 PRODUCT INPUTS'!C6*1.4)-1)),0),0)</f>
        <v>1221</v>
      </c>
      <c r="F42" s="45">
        <f t="shared" si="7"/>
        <v>1411476</v>
      </c>
      <c r="G42" s="45">
        <f>'📦 PRODUCT INPUTS'!C6*E42+'📦 PRODUCT INPUTS'!D6</f>
        <v>1050280</v>
      </c>
      <c r="H42" s="45">
        <f t="shared" si="8"/>
        <v>361196</v>
      </c>
      <c r="I42" s="9" t="str">
        <f>IF(C42&lt;=0,"🔴 Loss",IF(H42&gt;='⚙ SETUP'!$B$13*E42,"🟢 Above target","🟡 Below target"))</f>
        <v>🟢 Above target</v>
      </c>
    </row>
    <row r="43" spans="1:9" ht="18" customHeight="1" x14ac:dyDescent="0.25">
      <c r="A43" s="43">
        <f>ROUND('📦 PRODUCT INPUTS'!C6*1.8,2)</f>
        <v>1224</v>
      </c>
      <c r="B43" s="18">
        <f>A43*(1+'📦 PRODUCT INPUTS'!F6)</f>
        <v>1444.32</v>
      </c>
      <c r="C43" s="18">
        <f>A43-'📦 PRODUCT INPUTS'!C6</f>
        <v>544</v>
      </c>
      <c r="D43" s="44">
        <f t="shared" si="6"/>
        <v>0.44444444444444442</v>
      </c>
      <c r="E43" s="45">
        <f>IFERROR(ROUND('📦 PRODUCT INPUTS'!E6*MAX(0,1-'⚙ SETUP'!$B$21*100*(A43/('📦 PRODUCT INPUTS'!C6*1.4)-1)),0),0)</f>
        <v>1029</v>
      </c>
      <c r="F43" s="45">
        <f t="shared" si="7"/>
        <v>1259496</v>
      </c>
      <c r="G43" s="45">
        <f>'📦 PRODUCT INPUTS'!C6*E43+'📦 PRODUCT INPUTS'!D6</f>
        <v>919720</v>
      </c>
      <c r="H43" s="45">
        <f t="shared" si="8"/>
        <v>339776</v>
      </c>
      <c r="I43" s="9" t="str">
        <f>IF(C43&lt;=0,"🔴 Loss",IF(H43&gt;='⚙ SETUP'!$B$13*E43,"🟢 Above target","🟡 Below target"))</f>
        <v>🟢 Above target</v>
      </c>
    </row>
    <row r="44" spans="1:9" ht="18" customHeight="1" x14ac:dyDescent="0.25">
      <c r="A44" s="43">
        <f>ROUND('📦 PRODUCT INPUTS'!C6*1.9,2)</f>
        <v>1292</v>
      </c>
      <c r="B44" s="18">
        <f>A44*(1+'📦 PRODUCT INPUTS'!F6)</f>
        <v>1524.56</v>
      </c>
      <c r="C44" s="18">
        <f>A44-'📦 PRODUCT INPUTS'!C6</f>
        <v>612</v>
      </c>
      <c r="D44" s="44">
        <f t="shared" si="6"/>
        <v>0.47368421052631576</v>
      </c>
      <c r="E44" s="45">
        <f>IFERROR(ROUND('📦 PRODUCT INPUTS'!E6*MAX(0,1-'⚙ SETUP'!$B$21*100*(A44/('📦 PRODUCT INPUTS'!C6*1.4)-1)),0),0)</f>
        <v>836</v>
      </c>
      <c r="F44" s="45">
        <f t="shared" si="7"/>
        <v>1080112</v>
      </c>
      <c r="G44" s="45">
        <f>'📦 PRODUCT INPUTS'!C6*E44+'📦 PRODUCT INPUTS'!D6</f>
        <v>788480</v>
      </c>
      <c r="H44" s="45">
        <f t="shared" si="8"/>
        <v>291632</v>
      </c>
      <c r="I44" s="9" t="str">
        <f>IF(C44&lt;=0,"🔴 Loss",IF(H44&gt;='⚙ SETUP'!$B$13*E44,"🟢 Above target","🟡 Below target"))</f>
        <v>🟢 Above target</v>
      </c>
    </row>
    <row r="45" spans="1:9" ht="18" customHeight="1" x14ac:dyDescent="0.25">
      <c r="A45" s="43">
        <f>ROUND('📦 PRODUCT INPUTS'!C6*2,2)</f>
        <v>1360</v>
      </c>
      <c r="B45" s="18">
        <f>A45*(1+'📦 PRODUCT INPUTS'!F6)</f>
        <v>1604.8</v>
      </c>
      <c r="C45" s="18">
        <f>A45-'📦 PRODUCT INPUTS'!C6</f>
        <v>680</v>
      </c>
      <c r="D45" s="44">
        <f t="shared" si="6"/>
        <v>0.5</v>
      </c>
      <c r="E45" s="45">
        <f>IFERROR(ROUND('📦 PRODUCT INPUTS'!E6*MAX(0,1-'⚙ SETUP'!$B$21*100*(A45/('📦 PRODUCT INPUTS'!C6*1.4)-1)),0),0)</f>
        <v>643</v>
      </c>
      <c r="F45" s="45">
        <f t="shared" si="7"/>
        <v>874480</v>
      </c>
      <c r="G45" s="45">
        <f>'📦 PRODUCT INPUTS'!C6*E45+'📦 PRODUCT INPUTS'!D6</f>
        <v>657240</v>
      </c>
      <c r="H45" s="45">
        <f t="shared" si="8"/>
        <v>217240</v>
      </c>
      <c r="I45" s="9" t="str">
        <f>IF(C45&lt;=0,"🔴 Loss",IF(H45&gt;='⚙ SETUP'!$B$13*E45,"🟢 Above target","🟡 Below target"))</f>
        <v>🟢 Above target</v>
      </c>
    </row>
    <row r="46" spans="1:9" ht="18" customHeight="1" x14ac:dyDescent="0.25">
      <c r="A46" s="43">
        <f>ROUND('📦 PRODUCT INPUTS'!C6*2.2,2)</f>
        <v>1496</v>
      </c>
      <c r="B46" s="18">
        <f>A46*(1+'📦 PRODUCT INPUTS'!F6)</f>
        <v>1765.28</v>
      </c>
      <c r="C46" s="18">
        <f>A46-'📦 PRODUCT INPUTS'!C6</f>
        <v>816</v>
      </c>
      <c r="D46" s="44">
        <f t="shared" si="6"/>
        <v>0.54545454545454541</v>
      </c>
      <c r="E46" s="45">
        <f>IFERROR(ROUND('📦 PRODUCT INPUTS'!E6*MAX(0,1-'⚙ SETUP'!$B$21*100*(A46/('📦 PRODUCT INPUTS'!C6*1.4)-1)),0),0)</f>
        <v>257</v>
      </c>
      <c r="F46" s="45">
        <f t="shared" si="7"/>
        <v>384472</v>
      </c>
      <c r="G46" s="45">
        <f>'📦 PRODUCT INPUTS'!C6*E46+'📦 PRODUCT INPUTS'!D6</f>
        <v>394760</v>
      </c>
      <c r="H46" s="45">
        <f t="shared" si="8"/>
        <v>-10288</v>
      </c>
      <c r="I46" s="9" t="str">
        <f>IF(C46&lt;=0,"🔴 Loss",IF(H46&gt;='⚙ SETUP'!$B$13*E46,"🟢 Above target","🟡 Below target"))</f>
        <v>🟡 Below target</v>
      </c>
    </row>
    <row r="47" spans="1:9" ht="13.5" customHeight="1" x14ac:dyDescent="0.25">
      <c r="A47" s="79" t="s">
        <v>164</v>
      </c>
      <c r="B47" s="79"/>
      <c r="C47" s="79"/>
      <c r="D47" s="79"/>
      <c r="E47" s="79"/>
      <c r="F47" s="79"/>
      <c r="G47" s="79"/>
      <c r="H47" s="79"/>
      <c r="I47" s="79"/>
    </row>
    <row r="48" spans="1:9" ht="30" customHeight="1" x14ac:dyDescent="0.25">
      <c r="A48" s="79" t="s">
        <v>165</v>
      </c>
      <c r="B48" s="79"/>
      <c r="C48" s="79"/>
      <c r="D48" s="79"/>
      <c r="E48" s="79"/>
      <c r="F48" s="79"/>
      <c r="G48" s="79"/>
      <c r="H48" s="79"/>
      <c r="I48" s="79"/>
    </row>
    <row r="49" spans="1:9" ht="21.75" customHeight="1" x14ac:dyDescent="0.25">
      <c r="A49" s="93" t="s">
        <v>168</v>
      </c>
      <c r="B49" s="93"/>
      <c r="C49" s="93"/>
      <c r="D49" s="93"/>
      <c r="E49" s="93"/>
      <c r="F49" s="93"/>
      <c r="G49" s="93"/>
      <c r="H49" s="93"/>
      <c r="I49" s="93"/>
    </row>
    <row r="50" spans="1:9" ht="18" customHeight="1" x14ac:dyDescent="0.25">
      <c r="A50" s="43">
        <f>ROUND('📦 PRODUCT INPUTS'!C7*1.05,2)</f>
        <v>472.5</v>
      </c>
      <c r="B50" s="18">
        <f>A50*(1+'📦 PRODUCT INPUTS'!F7)</f>
        <v>557.54999999999995</v>
      </c>
      <c r="C50" s="18">
        <f>A50-'📦 PRODUCT INPUTS'!C7</f>
        <v>22.5</v>
      </c>
      <c r="D50" s="44">
        <f t="shared" ref="D50:D61" si="9">IFERROR(C50/A50,0)</f>
        <v>4.7619047619047616E-2</v>
      </c>
      <c r="E50" s="45">
        <f>IFERROR(ROUND('📦 PRODUCT INPUTS'!E7*MAX(0,1-'⚙ SETUP'!$B$21*100*(A50/('📦 PRODUCT INPUTS'!C7*1.4)-1)),0),0)</f>
        <v>3300</v>
      </c>
      <c r="F50" s="45">
        <f t="shared" ref="F50:F61" si="10">A50*E50</f>
        <v>1559250</v>
      </c>
      <c r="G50" s="45">
        <f>'📦 PRODUCT INPUTS'!C7*E50+'📦 PRODUCT INPUTS'!D7</f>
        <v>1545000</v>
      </c>
      <c r="H50" s="45">
        <f t="shared" ref="H50:H61" si="11">F50-G50</f>
        <v>14250</v>
      </c>
      <c r="I50" s="9" t="str">
        <f>IF(C50&lt;=0,"🔴 Loss",IF(H50&gt;='⚙ SETUP'!$B$13*E50,"🟢 Above target","🟡 Below target"))</f>
        <v>🟡 Below target</v>
      </c>
    </row>
    <row r="51" spans="1:9" ht="18" customHeight="1" x14ac:dyDescent="0.25">
      <c r="A51" s="43">
        <f>ROUND('📦 PRODUCT INPUTS'!C7*1.1,2)</f>
        <v>495</v>
      </c>
      <c r="B51" s="18">
        <f>A51*(1+'📦 PRODUCT INPUTS'!F7)</f>
        <v>584.1</v>
      </c>
      <c r="C51" s="18">
        <f>A51-'📦 PRODUCT INPUTS'!C7</f>
        <v>45</v>
      </c>
      <c r="D51" s="44">
        <f t="shared" si="9"/>
        <v>9.0909090909090912E-2</v>
      </c>
      <c r="E51" s="45">
        <f>IFERROR(ROUND('📦 PRODUCT INPUTS'!E7*MAX(0,1-'⚙ SETUP'!$B$21*100*(A51/('📦 PRODUCT INPUTS'!C7*1.4)-1)),0),0)</f>
        <v>3171</v>
      </c>
      <c r="F51" s="45">
        <f t="shared" si="10"/>
        <v>1569645</v>
      </c>
      <c r="G51" s="45">
        <f>'📦 PRODUCT INPUTS'!C7*E51+'📦 PRODUCT INPUTS'!D7</f>
        <v>1486950</v>
      </c>
      <c r="H51" s="45">
        <f t="shared" si="11"/>
        <v>82695</v>
      </c>
      <c r="I51" s="9" t="str">
        <f>IF(C51&lt;=0,"🔴 Loss",IF(H51&gt;='⚙ SETUP'!$B$13*E51,"🟢 Above target","🟡 Below target"))</f>
        <v>🟡 Below target</v>
      </c>
    </row>
    <row r="52" spans="1:9" ht="18" customHeight="1" x14ac:dyDescent="0.25">
      <c r="A52" s="43">
        <f>ROUND('📦 PRODUCT INPUTS'!C7*1.2,2)</f>
        <v>540</v>
      </c>
      <c r="B52" s="18">
        <f>A52*(1+'📦 PRODUCT INPUTS'!F7)</f>
        <v>637.19999999999993</v>
      </c>
      <c r="C52" s="18">
        <f>A52-'📦 PRODUCT INPUTS'!C7</f>
        <v>90</v>
      </c>
      <c r="D52" s="44">
        <f t="shared" si="9"/>
        <v>0.16666666666666666</v>
      </c>
      <c r="E52" s="45">
        <f>IFERROR(ROUND('📦 PRODUCT INPUTS'!E7*MAX(0,1-'⚙ SETUP'!$B$21*100*(A52/('📦 PRODUCT INPUTS'!C7*1.4)-1)),0),0)</f>
        <v>2914</v>
      </c>
      <c r="F52" s="45">
        <f t="shared" si="10"/>
        <v>1573560</v>
      </c>
      <c r="G52" s="45">
        <f>'📦 PRODUCT INPUTS'!C7*E52+'📦 PRODUCT INPUTS'!D7</f>
        <v>1371300</v>
      </c>
      <c r="H52" s="45">
        <f t="shared" si="11"/>
        <v>202260</v>
      </c>
      <c r="I52" s="9" t="str">
        <f>IF(C52&lt;=0,"🔴 Loss",IF(H52&gt;='⚙ SETUP'!$B$13*E52,"🟢 Above target","🟡 Below target"))</f>
        <v>🟡 Below target</v>
      </c>
    </row>
    <row r="53" spans="1:9" ht="18" customHeight="1" x14ac:dyDescent="0.25">
      <c r="A53" s="43">
        <f>ROUND('📦 PRODUCT INPUTS'!C7*1.3,2)</f>
        <v>585</v>
      </c>
      <c r="B53" s="18">
        <f>A53*(1+'📦 PRODUCT INPUTS'!F7)</f>
        <v>690.3</v>
      </c>
      <c r="C53" s="18">
        <f>A53-'📦 PRODUCT INPUTS'!C7</f>
        <v>135</v>
      </c>
      <c r="D53" s="44">
        <f t="shared" si="9"/>
        <v>0.23076923076923078</v>
      </c>
      <c r="E53" s="45">
        <f>IFERROR(ROUND('📦 PRODUCT INPUTS'!E7*MAX(0,1-'⚙ SETUP'!$B$21*100*(A53/('📦 PRODUCT INPUTS'!C7*1.4)-1)),0),0)</f>
        <v>2657</v>
      </c>
      <c r="F53" s="45">
        <f t="shared" si="10"/>
        <v>1554345</v>
      </c>
      <c r="G53" s="45">
        <f>'📦 PRODUCT INPUTS'!C7*E53+'📦 PRODUCT INPUTS'!D7</f>
        <v>1255650</v>
      </c>
      <c r="H53" s="45">
        <f t="shared" si="11"/>
        <v>298695</v>
      </c>
      <c r="I53" s="9" t="str">
        <f>IF(C53&lt;=0,"🔴 Loss",IF(H53&gt;='⚙ SETUP'!$B$13*E53,"🟢 Above target","🟡 Below target"))</f>
        <v>🟢 Above target</v>
      </c>
    </row>
    <row r="54" spans="1:9" ht="18" customHeight="1" x14ac:dyDescent="0.25">
      <c r="A54" s="43">
        <f>ROUND('📦 PRODUCT INPUTS'!C7*1.4,2)</f>
        <v>630</v>
      </c>
      <c r="B54" s="18">
        <f>A54*(1+'📦 PRODUCT INPUTS'!F7)</f>
        <v>743.4</v>
      </c>
      <c r="C54" s="12">
        <f>A54-'📦 PRODUCT INPUTS'!C7</f>
        <v>180</v>
      </c>
      <c r="D54" s="46">
        <f t="shared" si="9"/>
        <v>0.2857142857142857</v>
      </c>
      <c r="E54" s="47">
        <f>IFERROR(ROUND('📦 PRODUCT INPUTS'!E7*MAX(0,1-'⚙ SETUP'!$B$21*100*(A54/('📦 PRODUCT INPUTS'!C7*1.4)-1)),0),0)</f>
        <v>2400</v>
      </c>
      <c r="F54" s="47">
        <f t="shared" si="10"/>
        <v>1512000</v>
      </c>
      <c r="G54" s="47">
        <f>'📦 PRODUCT INPUTS'!C7*E54+'📦 PRODUCT INPUTS'!D7</f>
        <v>1140000</v>
      </c>
      <c r="H54" s="47">
        <f t="shared" si="11"/>
        <v>372000</v>
      </c>
      <c r="I54" s="48" t="str">
        <f>IF(C54&lt;=0,"🔴 Loss",IF(H54&gt;='⚙ SETUP'!$B$13*E54,"🟢 Above target","🟡 Below target"))</f>
        <v>🟢 Above target</v>
      </c>
    </row>
    <row r="55" spans="1:9" ht="18" customHeight="1" x14ac:dyDescent="0.25">
      <c r="A55" s="43">
        <f>ROUND('📦 PRODUCT INPUTS'!C7*1.5,2)</f>
        <v>675</v>
      </c>
      <c r="B55" s="18">
        <f>A55*(1+'📦 PRODUCT INPUTS'!F7)</f>
        <v>796.5</v>
      </c>
      <c r="C55" s="18">
        <f>A55-'📦 PRODUCT INPUTS'!C7</f>
        <v>225</v>
      </c>
      <c r="D55" s="44">
        <f t="shared" si="9"/>
        <v>0.33333333333333331</v>
      </c>
      <c r="E55" s="45">
        <f>IFERROR(ROUND('📦 PRODUCT INPUTS'!E7*MAX(0,1-'⚙ SETUP'!$B$21*100*(A55/('📦 PRODUCT INPUTS'!C7*1.4)-1)),0),0)</f>
        <v>2143</v>
      </c>
      <c r="F55" s="45">
        <f t="shared" si="10"/>
        <v>1446525</v>
      </c>
      <c r="G55" s="45">
        <f>'📦 PRODUCT INPUTS'!C7*E55+'📦 PRODUCT INPUTS'!D7</f>
        <v>1024350</v>
      </c>
      <c r="H55" s="45">
        <f t="shared" si="11"/>
        <v>422175</v>
      </c>
      <c r="I55" s="9" t="str">
        <f>IF(C55&lt;=0,"🔴 Loss",IF(H55&gt;='⚙ SETUP'!$B$13*E55,"🟢 Above target","🟡 Below target"))</f>
        <v>🟢 Above target</v>
      </c>
    </row>
    <row r="56" spans="1:9" ht="18" customHeight="1" x14ac:dyDescent="0.25">
      <c r="A56" s="43">
        <f>ROUND('📦 PRODUCT INPUTS'!C7*1.6,2)</f>
        <v>720</v>
      </c>
      <c r="B56" s="18">
        <f>A56*(1+'📦 PRODUCT INPUTS'!F7)</f>
        <v>849.59999999999991</v>
      </c>
      <c r="C56" s="18">
        <f>A56-'📦 PRODUCT INPUTS'!C7</f>
        <v>270</v>
      </c>
      <c r="D56" s="44">
        <f t="shared" si="9"/>
        <v>0.375</v>
      </c>
      <c r="E56" s="45">
        <f>IFERROR(ROUND('📦 PRODUCT INPUTS'!E7*MAX(0,1-'⚙ SETUP'!$B$21*100*(A56/('📦 PRODUCT INPUTS'!C7*1.4)-1)),0),0)</f>
        <v>1886</v>
      </c>
      <c r="F56" s="45">
        <f t="shared" si="10"/>
        <v>1357920</v>
      </c>
      <c r="G56" s="45">
        <f>'📦 PRODUCT INPUTS'!C7*E56+'📦 PRODUCT INPUTS'!D7</f>
        <v>908700</v>
      </c>
      <c r="H56" s="45">
        <f t="shared" si="11"/>
        <v>449220</v>
      </c>
      <c r="I56" s="9" t="str">
        <f>IF(C56&lt;=0,"🔴 Loss",IF(H56&gt;='⚙ SETUP'!$B$13*E56,"🟢 Above target","🟡 Below target"))</f>
        <v>🟢 Above target</v>
      </c>
    </row>
    <row r="57" spans="1:9" ht="18" customHeight="1" x14ac:dyDescent="0.25">
      <c r="A57" s="43">
        <f>ROUND('📦 PRODUCT INPUTS'!C7*1.7,2)</f>
        <v>765</v>
      </c>
      <c r="B57" s="18">
        <f>A57*(1+'📦 PRODUCT INPUTS'!F7)</f>
        <v>902.69999999999993</v>
      </c>
      <c r="C57" s="18">
        <f>A57-'📦 PRODUCT INPUTS'!C7</f>
        <v>315</v>
      </c>
      <c r="D57" s="44">
        <f t="shared" si="9"/>
        <v>0.41176470588235292</v>
      </c>
      <c r="E57" s="45">
        <f>IFERROR(ROUND('📦 PRODUCT INPUTS'!E7*MAX(0,1-'⚙ SETUP'!$B$21*100*(A57/('📦 PRODUCT INPUTS'!C7*1.4)-1)),0),0)</f>
        <v>1629</v>
      </c>
      <c r="F57" s="45">
        <f t="shared" si="10"/>
        <v>1246185</v>
      </c>
      <c r="G57" s="45">
        <f>'📦 PRODUCT INPUTS'!C7*E57+'📦 PRODUCT INPUTS'!D7</f>
        <v>793050</v>
      </c>
      <c r="H57" s="45">
        <f t="shared" si="11"/>
        <v>453135</v>
      </c>
      <c r="I57" s="9" t="str">
        <f>IF(C57&lt;=0,"🔴 Loss",IF(H57&gt;='⚙ SETUP'!$B$13*E57,"🟢 Above target","🟡 Below target"))</f>
        <v>🟢 Above target</v>
      </c>
    </row>
    <row r="58" spans="1:9" ht="18" customHeight="1" x14ac:dyDescent="0.25">
      <c r="A58" s="43">
        <f>ROUND('📦 PRODUCT INPUTS'!C7*1.8,2)</f>
        <v>810</v>
      </c>
      <c r="B58" s="18">
        <f>A58*(1+'📦 PRODUCT INPUTS'!F7)</f>
        <v>955.8</v>
      </c>
      <c r="C58" s="18">
        <f>A58-'📦 PRODUCT INPUTS'!C7</f>
        <v>360</v>
      </c>
      <c r="D58" s="44">
        <f t="shared" si="9"/>
        <v>0.44444444444444442</v>
      </c>
      <c r="E58" s="45">
        <f>IFERROR(ROUND('📦 PRODUCT INPUTS'!E7*MAX(0,1-'⚙ SETUP'!$B$21*100*(A58/('📦 PRODUCT INPUTS'!C7*1.4)-1)),0),0)</f>
        <v>1371</v>
      </c>
      <c r="F58" s="45">
        <f t="shared" si="10"/>
        <v>1110510</v>
      </c>
      <c r="G58" s="45">
        <f>'📦 PRODUCT INPUTS'!C7*E58+'📦 PRODUCT INPUTS'!D7</f>
        <v>676950</v>
      </c>
      <c r="H58" s="45">
        <f t="shared" si="11"/>
        <v>433560</v>
      </c>
      <c r="I58" s="9" t="str">
        <f>IF(C58&lt;=0,"🔴 Loss",IF(H58&gt;='⚙ SETUP'!$B$13*E58,"🟢 Above target","🟡 Below target"))</f>
        <v>🟢 Above target</v>
      </c>
    </row>
    <row r="59" spans="1:9" ht="18" customHeight="1" x14ac:dyDescent="0.25">
      <c r="A59" s="43">
        <f>ROUND('📦 PRODUCT INPUTS'!C7*1.9,2)</f>
        <v>855</v>
      </c>
      <c r="B59" s="18">
        <f>A59*(1+'📦 PRODUCT INPUTS'!F7)</f>
        <v>1008.9</v>
      </c>
      <c r="C59" s="18">
        <f>A59-'📦 PRODUCT INPUTS'!C7</f>
        <v>405</v>
      </c>
      <c r="D59" s="44">
        <f t="shared" si="9"/>
        <v>0.47368421052631576</v>
      </c>
      <c r="E59" s="45">
        <f>IFERROR(ROUND('📦 PRODUCT INPUTS'!E7*MAX(0,1-'⚙ SETUP'!$B$21*100*(A59/('📦 PRODUCT INPUTS'!C7*1.4)-1)),0),0)</f>
        <v>1114</v>
      </c>
      <c r="F59" s="45">
        <f t="shared" si="10"/>
        <v>952470</v>
      </c>
      <c r="G59" s="45">
        <f>'📦 PRODUCT INPUTS'!C7*E59+'📦 PRODUCT INPUTS'!D7</f>
        <v>561300</v>
      </c>
      <c r="H59" s="45">
        <f t="shared" si="11"/>
        <v>391170</v>
      </c>
      <c r="I59" s="9" t="str">
        <f>IF(C59&lt;=0,"🔴 Loss",IF(H59&gt;='⚙ SETUP'!$B$13*E59,"🟢 Above target","🟡 Below target"))</f>
        <v>🟢 Above target</v>
      </c>
    </row>
    <row r="60" spans="1:9" ht="18" customHeight="1" x14ac:dyDescent="0.25">
      <c r="A60" s="43">
        <f>ROUND('📦 PRODUCT INPUTS'!C7*2,2)</f>
        <v>900</v>
      </c>
      <c r="B60" s="18">
        <f>A60*(1+'📦 PRODUCT INPUTS'!F7)</f>
        <v>1062</v>
      </c>
      <c r="C60" s="18">
        <f>A60-'📦 PRODUCT INPUTS'!C7</f>
        <v>450</v>
      </c>
      <c r="D60" s="44">
        <f t="shared" si="9"/>
        <v>0.5</v>
      </c>
      <c r="E60" s="45">
        <f>IFERROR(ROUND('📦 PRODUCT INPUTS'!E7*MAX(0,1-'⚙ SETUP'!$B$21*100*(A60/('📦 PRODUCT INPUTS'!C7*1.4)-1)),0),0)</f>
        <v>857</v>
      </c>
      <c r="F60" s="45">
        <f t="shared" si="10"/>
        <v>771300</v>
      </c>
      <c r="G60" s="45">
        <f>'📦 PRODUCT INPUTS'!C7*E60+'📦 PRODUCT INPUTS'!D7</f>
        <v>445650</v>
      </c>
      <c r="H60" s="45">
        <f t="shared" si="11"/>
        <v>325650</v>
      </c>
      <c r="I60" s="9" t="str">
        <f>IF(C60&lt;=0,"🔴 Loss",IF(H60&gt;='⚙ SETUP'!$B$13*E60,"🟢 Above target","🟡 Below target"))</f>
        <v>🟢 Above target</v>
      </c>
    </row>
    <row r="61" spans="1:9" ht="18" customHeight="1" x14ac:dyDescent="0.25">
      <c r="A61" s="43">
        <f>ROUND('📦 PRODUCT INPUTS'!C7*2.2,2)</f>
        <v>990</v>
      </c>
      <c r="B61" s="18">
        <f>A61*(1+'📦 PRODUCT INPUTS'!F7)</f>
        <v>1168.2</v>
      </c>
      <c r="C61" s="18">
        <f>A61-'📦 PRODUCT INPUTS'!C7</f>
        <v>540</v>
      </c>
      <c r="D61" s="44">
        <f t="shared" si="9"/>
        <v>0.54545454545454541</v>
      </c>
      <c r="E61" s="45">
        <f>IFERROR(ROUND('📦 PRODUCT INPUTS'!E7*MAX(0,1-'⚙ SETUP'!$B$21*100*(A61/('📦 PRODUCT INPUTS'!C7*1.4)-1)),0),0)</f>
        <v>343</v>
      </c>
      <c r="F61" s="45">
        <f t="shared" si="10"/>
        <v>339570</v>
      </c>
      <c r="G61" s="45">
        <f>'📦 PRODUCT INPUTS'!C7*E61+'📦 PRODUCT INPUTS'!D7</f>
        <v>214350</v>
      </c>
      <c r="H61" s="45">
        <f t="shared" si="11"/>
        <v>125220</v>
      </c>
      <c r="I61" s="9" t="str">
        <f>IF(C61&lt;=0,"🔴 Loss",IF(H61&gt;='⚙ SETUP'!$B$13*E61,"🟢 Above target","🟡 Below target"))</f>
        <v>🟢 Above target</v>
      </c>
    </row>
    <row r="62" spans="1:9" ht="13.5" customHeight="1" x14ac:dyDescent="0.25">
      <c r="A62" s="79" t="s">
        <v>164</v>
      </c>
      <c r="B62" s="79"/>
      <c r="C62" s="79"/>
      <c r="D62" s="79"/>
      <c r="E62" s="79"/>
      <c r="F62" s="79"/>
      <c r="G62" s="79"/>
      <c r="H62" s="79"/>
      <c r="I62" s="79"/>
    </row>
    <row r="63" spans="1:9" ht="26.25" customHeight="1" x14ac:dyDescent="0.25">
      <c r="A63" s="79" t="s">
        <v>165</v>
      </c>
      <c r="B63" s="79"/>
      <c r="C63" s="79"/>
      <c r="D63" s="79"/>
      <c r="E63" s="79"/>
      <c r="F63" s="79"/>
      <c r="G63" s="79"/>
      <c r="H63" s="79"/>
      <c r="I63" s="79"/>
    </row>
    <row r="64" spans="1:9" ht="21.75" customHeight="1" x14ac:dyDescent="0.25">
      <c r="A64" s="93" t="s">
        <v>169</v>
      </c>
      <c r="B64" s="93"/>
      <c r="C64" s="93"/>
      <c r="D64" s="93"/>
      <c r="E64" s="93"/>
      <c r="F64" s="93"/>
      <c r="G64" s="93"/>
      <c r="H64" s="93"/>
      <c r="I64" s="93"/>
    </row>
    <row r="65" spans="1:9" ht="18" customHeight="1" x14ac:dyDescent="0.25">
      <c r="A65" s="43">
        <f>ROUND('📦 PRODUCT INPUTS'!C8*1.05,2)</f>
        <v>152.25</v>
      </c>
      <c r="B65" s="18">
        <f>A65*(1+'📦 PRODUCT INPUTS'!F8)</f>
        <v>159.86250000000001</v>
      </c>
      <c r="C65" s="18">
        <f>A65-'📦 PRODUCT INPUTS'!C8</f>
        <v>7.25</v>
      </c>
      <c r="D65" s="44">
        <f t="shared" ref="D65:D76" si="12">IFERROR(C65/A65,0)</f>
        <v>4.7619047619047616E-2</v>
      </c>
      <c r="E65" s="45">
        <f>IFERROR(ROUND('📦 PRODUCT INPUTS'!E8*MAX(0,1-'⚙ SETUP'!$B$21*100*(A65/('📦 PRODUCT INPUTS'!C8*1.4)-1)),0),0)</f>
        <v>12375</v>
      </c>
      <c r="F65" s="45">
        <f t="shared" ref="F65:F76" si="13">A65*E65</f>
        <v>1884093.75</v>
      </c>
      <c r="G65" s="45">
        <f>'📦 PRODUCT INPUTS'!C8*E65+'📦 PRODUCT INPUTS'!D8</f>
        <v>1832375</v>
      </c>
      <c r="H65" s="45">
        <f t="shared" ref="H65:H76" si="14">F65-G65</f>
        <v>51718.75</v>
      </c>
      <c r="I65" s="9" t="str">
        <f>IF(C65&lt;=0,"🔴 Loss",IF(H65&gt;='⚙ SETUP'!$B$13*E65,"🟢 Above target","🟡 Below target"))</f>
        <v>🟡 Below target</v>
      </c>
    </row>
    <row r="66" spans="1:9" ht="18" customHeight="1" x14ac:dyDescent="0.25">
      <c r="A66" s="43">
        <f>ROUND('📦 PRODUCT INPUTS'!C8*1.1,2)</f>
        <v>159.5</v>
      </c>
      <c r="B66" s="18">
        <f>A66*(1+'📦 PRODUCT INPUTS'!F8)</f>
        <v>167.47499999999999</v>
      </c>
      <c r="C66" s="18">
        <f>A66-'📦 PRODUCT INPUTS'!C8</f>
        <v>14.5</v>
      </c>
      <c r="D66" s="44">
        <f t="shared" si="12"/>
        <v>9.0909090909090912E-2</v>
      </c>
      <c r="E66" s="45">
        <f>IFERROR(ROUND('📦 PRODUCT INPUTS'!E8*MAX(0,1-'⚙ SETUP'!$B$21*100*(A66/('📦 PRODUCT INPUTS'!C8*1.4)-1)),0),0)</f>
        <v>11893</v>
      </c>
      <c r="F66" s="45">
        <f t="shared" si="13"/>
        <v>1896933.5</v>
      </c>
      <c r="G66" s="45">
        <f>'📦 PRODUCT INPUTS'!C8*E66+'📦 PRODUCT INPUTS'!D8</f>
        <v>1762485</v>
      </c>
      <c r="H66" s="45">
        <f t="shared" si="14"/>
        <v>134448.5</v>
      </c>
      <c r="I66" s="9" t="str">
        <f>IF(C66&lt;=0,"🔴 Loss",IF(H66&gt;='⚙ SETUP'!$B$13*E66,"🟢 Above target","🟡 Below target"))</f>
        <v>🟡 Below target</v>
      </c>
    </row>
    <row r="67" spans="1:9" ht="18" customHeight="1" x14ac:dyDescent="0.25">
      <c r="A67" s="43">
        <f>ROUND('📦 PRODUCT INPUTS'!C8*1.2,2)</f>
        <v>174</v>
      </c>
      <c r="B67" s="18">
        <f>A67*(1+'📦 PRODUCT INPUTS'!F8)</f>
        <v>182.70000000000002</v>
      </c>
      <c r="C67" s="18">
        <f>A67-'📦 PRODUCT INPUTS'!C8</f>
        <v>29</v>
      </c>
      <c r="D67" s="44">
        <f t="shared" si="12"/>
        <v>0.16666666666666666</v>
      </c>
      <c r="E67" s="45">
        <f>IFERROR(ROUND('📦 PRODUCT INPUTS'!E8*MAX(0,1-'⚙ SETUP'!$B$21*100*(A67/('📦 PRODUCT INPUTS'!C8*1.4)-1)),0),0)</f>
        <v>10929</v>
      </c>
      <c r="F67" s="45">
        <f t="shared" si="13"/>
        <v>1901646</v>
      </c>
      <c r="G67" s="45">
        <f>'📦 PRODUCT INPUTS'!C8*E67+'📦 PRODUCT INPUTS'!D8</f>
        <v>1622705</v>
      </c>
      <c r="H67" s="45">
        <f t="shared" si="14"/>
        <v>278941</v>
      </c>
      <c r="I67" s="9" t="str">
        <f>IF(C67&lt;=0,"🔴 Loss",IF(H67&gt;='⚙ SETUP'!$B$13*E67,"🟢 Above target","🟡 Below target"))</f>
        <v>🟡 Below target</v>
      </c>
    </row>
    <row r="68" spans="1:9" ht="18" customHeight="1" x14ac:dyDescent="0.25">
      <c r="A68" s="43">
        <f>ROUND('📦 PRODUCT INPUTS'!C8*1.3,2)</f>
        <v>188.5</v>
      </c>
      <c r="B68" s="18">
        <f>A68*(1+'📦 PRODUCT INPUTS'!F8)</f>
        <v>197.92500000000001</v>
      </c>
      <c r="C68" s="18">
        <f>A68-'📦 PRODUCT INPUTS'!C8</f>
        <v>43.5</v>
      </c>
      <c r="D68" s="44">
        <f t="shared" si="12"/>
        <v>0.23076923076923078</v>
      </c>
      <c r="E68" s="45">
        <f>IFERROR(ROUND('📦 PRODUCT INPUTS'!E8*MAX(0,1-'⚙ SETUP'!$B$21*100*(A68/('📦 PRODUCT INPUTS'!C8*1.4)-1)),0),0)</f>
        <v>9964</v>
      </c>
      <c r="F68" s="45">
        <f t="shared" si="13"/>
        <v>1878214</v>
      </c>
      <c r="G68" s="45">
        <f>'📦 PRODUCT INPUTS'!C8*E68+'📦 PRODUCT INPUTS'!D8</f>
        <v>1482780</v>
      </c>
      <c r="H68" s="45">
        <f t="shared" si="14"/>
        <v>395434</v>
      </c>
      <c r="I68" s="9" t="str">
        <f>IF(C68&lt;=0,"🔴 Loss",IF(H68&gt;='⚙ SETUP'!$B$13*E68,"🟢 Above target","🟡 Below target"))</f>
        <v>🟡 Below target</v>
      </c>
    </row>
    <row r="69" spans="1:9" ht="18" customHeight="1" x14ac:dyDescent="0.25">
      <c r="A69" s="43">
        <f>ROUND('📦 PRODUCT INPUTS'!C8*1.4,2)</f>
        <v>203</v>
      </c>
      <c r="B69" s="18">
        <f>A69*(1+'📦 PRODUCT INPUTS'!F8)</f>
        <v>213.15</v>
      </c>
      <c r="C69" s="12">
        <f>A69-'📦 PRODUCT INPUTS'!C8</f>
        <v>58</v>
      </c>
      <c r="D69" s="46">
        <f t="shared" si="12"/>
        <v>0.2857142857142857</v>
      </c>
      <c r="E69" s="47">
        <f>IFERROR(ROUND('📦 PRODUCT INPUTS'!E8*MAX(0,1-'⚙ SETUP'!$B$21*100*(A69/('📦 PRODUCT INPUTS'!C8*1.4)-1)),0),0)</f>
        <v>9000</v>
      </c>
      <c r="F69" s="47">
        <f t="shared" si="13"/>
        <v>1827000</v>
      </c>
      <c r="G69" s="47">
        <f>'📦 PRODUCT INPUTS'!C8*E69+'📦 PRODUCT INPUTS'!D8</f>
        <v>1343000</v>
      </c>
      <c r="H69" s="47">
        <f t="shared" si="14"/>
        <v>484000</v>
      </c>
      <c r="I69" s="48" t="str">
        <f>IF(C69&lt;=0,"🔴 Loss",IF(H69&gt;='⚙ SETUP'!$B$13*E69,"🟢 Above target","🟡 Below target"))</f>
        <v>🟡 Below target</v>
      </c>
    </row>
    <row r="70" spans="1:9" ht="18" customHeight="1" x14ac:dyDescent="0.25">
      <c r="A70" s="43">
        <f>ROUND('📦 PRODUCT INPUTS'!C8*1.5,2)</f>
        <v>217.5</v>
      </c>
      <c r="B70" s="18">
        <f>A70*(1+'📦 PRODUCT INPUTS'!F8)</f>
        <v>228.375</v>
      </c>
      <c r="C70" s="18">
        <f>A70-'📦 PRODUCT INPUTS'!C8</f>
        <v>72.5</v>
      </c>
      <c r="D70" s="44">
        <f t="shared" si="12"/>
        <v>0.33333333333333331</v>
      </c>
      <c r="E70" s="45">
        <f>IFERROR(ROUND('📦 PRODUCT INPUTS'!E8*MAX(0,1-'⚙ SETUP'!$B$21*100*(A70/('📦 PRODUCT INPUTS'!C8*1.4)-1)),0),0)</f>
        <v>8036</v>
      </c>
      <c r="F70" s="45">
        <f t="shared" si="13"/>
        <v>1747830</v>
      </c>
      <c r="G70" s="45">
        <f>'📦 PRODUCT INPUTS'!C8*E70+'📦 PRODUCT INPUTS'!D8</f>
        <v>1203220</v>
      </c>
      <c r="H70" s="45">
        <f t="shared" si="14"/>
        <v>544610</v>
      </c>
      <c r="I70" s="9" t="str">
        <f>IF(C70&lt;=0,"🔴 Loss",IF(H70&gt;='⚙ SETUP'!$B$13*E70,"🟢 Above target","🟡 Below target"))</f>
        <v>🟡 Below target</v>
      </c>
    </row>
    <row r="71" spans="1:9" ht="18" customHeight="1" x14ac:dyDescent="0.25">
      <c r="A71" s="43">
        <f>ROUND('📦 PRODUCT INPUTS'!C8*1.6,2)</f>
        <v>232</v>
      </c>
      <c r="B71" s="18">
        <f>A71*(1+'📦 PRODUCT INPUTS'!F8)</f>
        <v>243.60000000000002</v>
      </c>
      <c r="C71" s="18">
        <f>A71-'📦 PRODUCT INPUTS'!C8</f>
        <v>87</v>
      </c>
      <c r="D71" s="44">
        <f t="shared" si="12"/>
        <v>0.375</v>
      </c>
      <c r="E71" s="45">
        <f>IFERROR(ROUND('📦 PRODUCT INPUTS'!E8*MAX(0,1-'⚙ SETUP'!$B$21*100*(A71/('📦 PRODUCT INPUTS'!C8*1.4)-1)),0),0)</f>
        <v>7071</v>
      </c>
      <c r="F71" s="45">
        <f t="shared" si="13"/>
        <v>1640472</v>
      </c>
      <c r="G71" s="45">
        <f>'📦 PRODUCT INPUTS'!C8*E71+'📦 PRODUCT INPUTS'!D8</f>
        <v>1063295</v>
      </c>
      <c r="H71" s="45">
        <f t="shared" si="14"/>
        <v>577177</v>
      </c>
      <c r="I71" s="9" t="str">
        <f>IF(C71&lt;=0,"🔴 Loss",IF(H71&gt;='⚙ SETUP'!$B$13*E71,"🟢 Above target","🟡 Below target"))</f>
        <v>🟢 Above target</v>
      </c>
    </row>
    <row r="72" spans="1:9" ht="18" customHeight="1" x14ac:dyDescent="0.25">
      <c r="A72" s="43">
        <f>ROUND('📦 PRODUCT INPUTS'!C8*1.7,2)</f>
        <v>246.5</v>
      </c>
      <c r="B72" s="18">
        <f>A72*(1+'📦 PRODUCT INPUTS'!F8)</f>
        <v>258.82499999999999</v>
      </c>
      <c r="C72" s="18">
        <f>A72-'📦 PRODUCT INPUTS'!C8</f>
        <v>101.5</v>
      </c>
      <c r="D72" s="44">
        <f t="shared" si="12"/>
        <v>0.41176470588235292</v>
      </c>
      <c r="E72" s="45">
        <f>IFERROR(ROUND('📦 PRODUCT INPUTS'!E8*MAX(0,1-'⚙ SETUP'!$B$21*100*(A72/('📦 PRODUCT INPUTS'!C8*1.4)-1)),0),0)</f>
        <v>6107</v>
      </c>
      <c r="F72" s="45">
        <f t="shared" si="13"/>
        <v>1505375.5</v>
      </c>
      <c r="G72" s="45">
        <f>'📦 PRODUCT INPUTS'!C8*E72+'📦 PRODUCT INPUTS'!D8</f>
        <v>923515</v>
      </c>
      <c r="H72" s="45">
        <f t="shared" si="14"/>
        <v>581860.5</v>
      </c>
      <c r="I72" s="9" t="str">
        <f>IF(C72&lt;=0,"🔴 Loss",IF(H72&gt;='⚙ SETUP'!$B$13*E72,"🟢 Above target","🟡 Below target"))</f>
        <v>🟢 Above target</v>
      </c>
    </row>
    <row r="73" spans="1:9" ht="18" customHeight="1" x14ac:dyDescent="0.25">
      <c r="A73" s="43">
        <f>ROUND('📦 PRODUCT INPUTS'!C8*1.8,2)</f>
        <v>261</v>
      </c>
      <c r="B73" s="18">
        <f>A73*(1+'📦 PRODUCT INPUTS'!F8)</f>
        <v>274.05</v>
      </c>
      <c r="C73" s="18">
        <f>A73-'📦 PRODUCT INPUTS'!C8</f>
        <v>116</v>
      </c>
      <c r="D73" s="44">
        <f t="shared" si="12"/>
        <v>0.44444444444444442</v>
      </c>
      <c r="E73" s="45">
        <f>IFERROR(ROUND('📦 PRODUCT INPUTS'!E8*MAX(0,1-'⚙ SETUP'!$B$21*100*(A73/('📦 PRODUCT INPUTS'!C8*1.4)-1)),0),0)</f>
        <v>5143</v>
      </c>
      <c r="F73" s="45">
        <f t="shared" si="13"/>
        <v>1342323</v>
      </c>
      <c r="G73" s="45">
        <f>'📦 PRODUCT INPUTS'!C8*E73+'📦 PRODUCT INPUTS'!D8</f>
        <v>783735</v>
      </c>
      <c r="H73" s="45">
        <f t="shared" si="14"/>
        <v>558588</v>
      </c>
      <c r="I73" s="9" t="str">
        <f>IF(C73&lt;=0,"🔴 Loss",IF(H73&gt;='⚙ SETUP'!$B$13*E73,"🟢 Above target","🟡 Below target"))</f>
        <v>🟢 Above target</v>
      </c>
    </row>
    <row r="74" spans="1:9" ht="18" customHeight="1" x14ac:dyDescent="0.25">
      <c r="A74" s="43">
        <f>ROUND('📦 PRODUCT INPUTS'!C8*1.9,2)</f>
        <v>275.5</v>
      </c>
      <c r="B74" s="18">
        <f>A74*(1+'📦 PRODUCT INPUTS'!F8)</f>
        <v>289.27500000000003</v>
      </c>
      <c r="C74" s="18">
        <f>A74-'📦 PRODUCT INPUTS'!C8</f>
        <v>130.5</v>
      </c>
      <c r="D74" s="44">
        <f t="shared" si="12"/>
        <v>0.47368421052631576</v>
      </c>
      <c r="E74" s="45">
        <f>IFERROR(ROUND('📦 PRODUCT INPUTS'!E8*MAX(0,1-'⚙ SETUP'!$B$21*100*(A74/('📦 PRODUCT INPUTS'!C8*1.4)-1)),0),0)</f>
        <v>4179</v>
      </c>
      <c r="F74" s="45">
        <f t="shared" si="13"/>
        <v>1151314.5</v>
      </c>
      <c r="G74" s="45">
        <f>'📦 PRODUCT INPUTS'!C8*E74+'📦 PRODUCT INPUTS'!D8</f>
        <v>643955</v>
      </c>
      <c r="H74" s="45">
        <f t="shared" si="14"/>
        <v>507359.5</v>
      </c>
      <c r="I74" s="9" t="str">
        <f>IF(C74&lt;=0,"🔴 Loss",IF(H74&gt;='⚙ SETUP'!$B$13*E74,"🟢 Above target","🟡 Below target"))</f>
        <v>🟢 Above target</v>
      </c>
    </row>
    <row r="75" spans="1:9" ht="18" customHeight="1" x14ac:dyDescent="0.25">
      <c r="A75" s="43">
        <f>ROUND('📦 PRODUCT INPUTS'!C8*2,2)</f>
        <v>290</v>
      </c>
      <c r="B75" s="18">
        <f>A75*(1+'📦 PRODUCT INPUTS'!F8)</f>
        <v>304.5</v>
      </c>
      <c r="C75" s="18">
        <f>A75-'📦 PRODUCT INPUTS'!C8</f>
        <v>145</v>
      </c>
      <c r="D75" s="44">
        <f t="shared" si="12"/>
        <v>0.5</v>
      </c>
      <c r="E75" s="45">
        <f>IFERROR(ROUND('📦 PRODUCT INPUTS'!E8*MAX(0,1-'⚙ SETUP'!$B$21*100*(A75/('📦 PRODUCT INPUTS'!C8*1.4)-1)),0),0)</f>
        <v>3214</v>
      </c>
      <c r="F75" s="45">
        <f t="shared" si="13"/>
        <v>932060</v>
      </c>
      <c r="G75" s="45">
        <f>'📦 PRODUCT INPUTS'!C8*E75+'📦 PRODUCT INPUTS'!D8</f>
        <v>504030</v>
      </c>
      <c r="H75" s="45">
        <f t="shared" si="14"/>
        <v>428030</v>
      </c>
      <c r="I75" s="9" t="str">
        <f>IF(C75&lt;=0,"🔴 Loss",IF(H75&gt;='⚙ SETUP'!$B$13*E75,"🟢 Above target","🟡 Below target"))</f>
        <v>🟢 Above target</v>
      </c>
    </row>
    <row r="76" spans="1:9" ht="18" customHeight="1" x14ac:dyDescent="0.25">
      <c r="A76" s="43">
        <f>ROUND('📦 PRODUCT INPUTS'!C8*2.2,2)</f>
        <v>319</v>
      </c>
      <c r="B76" s="18">
        <f>A76*(1+'📦 PRODUCT INPUTS'!F8)</f>
        <v>334.95</v>
      </c>
      <c r="C76" s="18">
        <f>A76-'📦 PRODUCT INPUTS'!C8</f>
        <v>174</v>
      </c>
      <c r="D76" s="44">
        <f t="shared" si="12"/>
        <v>0.54545454545454541</v>
      </c>
      <c r="E76" s="45">
        <f>IFERROR(ROUND('📦 PRODUCT INPUTS'!E8*MAX(0,1-'⚙ SETUP'!$B$21*100*(A76/('📦 PRODUCT INPUTS'!C8*1.4)-1)),0),0)</f>
        <v>1286</v>
      </c>
      <c r="F76" s="45">
        <f t="shared" si="13"/>
        <v>410234</v>
      </c>
      <c r="G76" s="45">
        <f>'📦 PRODUCT INPUTS'!C8*E76+'📦 PRODUCT INPUTS'!D8</f>
        <v>224470</v>
      </c>
      <c r="H76" s="45">
        <f t="shared" si="14"/>
        <v>185764</v>
      </c>
      <c r="I76" s="9" t="str">
        <f>IF(C76&lt;=0,"🔴 Loss",IF(H76&gt;='⚙ SETUP'!$B$13*E76,"🟢 Above target","🟡 Below target"))</f>
        <v>🟢 Above target</v>
      </c>
    </row>
    <row r="77" spans="1:9" ht="13.5" customHeight="1" x14ac:dyDescent="0.25">
      <c r="A77" s="79" t="s">
        <v>164</v>
      </c>
      <c r="B77" s="79"/>
      <c r="C77" s="79"/>
      <c r="D77" s="79"/>
      <c r="E77" s="79"/>
      <c r="F77" s="79"/>
      <c r="G77" s="79"/>
      <c r="H77" s="79"/>
      <c r="I77" s="79"/>
    </row>
    <row r="78" spans="1:9" ht="36.75" customHeight="1" x14ac:dyDescent="0.25">
      <c r="A78" s="79" t="s">
        <v>165</v>
      </c>
      <c r="B78" s="79"/>
      <c r="C78" s="79"/>
      <c r="D78" s="79"/>
      <c r="E78" s="79"/>
      <c r="F78" s="79"/>
      <c r="G78" s="79"/>
      <c r="H78" s="79"/>
      <c r="I78" s="79"/>
    </row>
  </sheetData>
  <sheetProtection algorithmName="SHA-512" hashValue="twNnn1HRZ+oAWDoFolVHwoXE3l/GBv7rrAqukPDmZ5qF3z+ZR1rRM+K8bFMb+R3uCfxhb4nDRDYRde5DWCYcIA==" saltValue="gT5k5M+icL6VYmS5e/Dsrg==" spinCount="100000" sheet="1" objects="1" scenarios="1"/>
  <mergeCells count="17">
    <mergeCell ref="A1:I1"/>
    <mergeCell ref="A2:I2"/>
    <mergeCell ref="A4:I4"/>
    <mergeCell ref="A17:I17"/>
    <mergeCell ref="A18:I18"/>
    <mergeCell ref="A19:I19"/>
    <mergeCell ref="A32:I32"/>
    <mergeCell ref="A33:I33"/>
    <mergeCell ref="A34:I34"/>
    <mergeCell ref="A47:I47"/>
    <mergeCell ref="A77:I77"/>
    <mergeCell ref="A78:I78"/>
    <mergeCell ref="A48:I48"/>
    <mergeCell ref="A49:I49"/>
    <mergeCell ref="A62:I62"/>
    <mergeCell ref="A63:I63"/>
    <mergeCell ref="A64:I64"/>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C3483"/>
  </sheetPr>
  <dimension ref="A1:L42"/>
  <sheetViews>
    <sheetView tabSelected="1" zoomScaleNormal="100" workbookViewId="0">
      <pane ySplit="3" topLeftCell="A4" activePane="bottomLeft" state="frozen"/>
      <selection pane="bottomLeft" sqref="A1:XFD1048576"/>
    </sheetView>
  </sheetViews>
  <sheetFormatPr defaultColWidth="8.7109375" defaultRowHeight="15" x14ac:dyDescent="0.25"/>
  <cols>
    <col min="1" max="1" width="26" style="1" customWidth="1"/>
    <col min="2" max="7" width="13" style="1" customWidth="1"/>
    <col min="8" max="16384" width="8.7109375" style="1"/>
  </cols>
  <sheetData>
    <row r="1" spans="1:12" ht="30" customHeight="1" x14ac:dyDescent="0.25">
      <c r="A1" s="76" t="s">
        <v>170</v>
      </c>
      <c r="B1" s="76"/>
      <c r="C1" s="76"/>
      <c r="D1" s="76"/>
      <c r="E1" s="76"/>
      <c r="F1" s="76"/>
      <c r="G1" s="76"/>
      <c r="H1" s="76"/>
      <c r="I1" s="76"/>
      <c r="J1" s="76"/>
      <c r="K1" s="76"/>
      <c r="L1" s="76"/>
    </row>
    <row r="2" spans="1:12" ht="15" customHeight="1" x14ac:dyDescent="0.25">
      <c r="A2" s="77" t="s">
        <v>171</v>
      </c>
      <c r="B2" s="77"/>
      <c r="C2" s="77"/>
      <c r="D2" s="77"/>
      <c r="E2" s="77"/>
      <c r="F2" s="77"/>
      <c r="G2" s="77"/>
      <c r="H2" s="77"/>
      <c r="I2" s="77"/>
      <c r="J2" s="77"/>
      <c r="K2" s="77"/>
      <c r="L2" s="77"/>
    </row>
    <row r="3" spans="1:12" ht="21.75" customHeight="1" x14ac:dyDescent="0.25">
      <c r="A3" s="78" t="s">
        <v>172</v>
      </c>
      <c r="B3" s="78"/>
      <c r="C3" s="78"/>
      <c r="D3" s="78"/>
      <c r="E3" s="78"/>
      <c r="F3" s="78"/>
      <c r="G3" s="78"/>
    </row>
    <row r="4" spans="1:12" ht="31.5" customHeight="1" x14ac:dyDescent="0.25">
      <c r="A4" s="2" t="s">
        <v>173</v>
      </c>
      <c r="B4" s="2" t="s">
        <v>174</v>
      </c>
      <c r="C4" s="2" t="s">
        <v>175</v>
      </c>
      <c r="D4" s="2" t="s">
        <v>176</v>
      </c>
      <c r="E4" s="2" t="s">
        <v>177</v>
      </c>
      <c r="F4" s="2" t="s">
        <v>178</v>
      </c>
      <c r="G4" s="2" t="s">
        <v>179</v>
      </c>
    </row>
    <row r="5" spans="1:12" ht="19.5" customHeight="1" x14ac:dyDescent="0.25">
      <c r="A5" s="3" t="str">
        <f>'📦 PRODUCT INPUTS'!B4</f>
        <v>Widget Pro</v>
      </c>
      <c r="B5" s="12">
        <f>'💰 COST-PLUS PRICING'!B13</f>
        <v>584.61538461538464</v>
      </c>
      <c r="C5" s="12">
        <f>'💰 COST-PLUS PRICING'!B20</f>
        <v>608</v>
      </c>
      <c r="D5" s="12">
        <f>'💰 COST-PLUS PRICING'!B28</f>
        <v>532.22149371909666</v>
      </c>
      <c r="E5" s="49">
        <f>'🎯 VALUE-BASED PRICING'!B24</f>
        <v>584.61538461538464</v>
      </c>
      <c r="F5" s="50">
        <f>'🎯 VALUE-BASED PRICING'!B15</f>
        <v>425.3125</v>
      </c>
      <c r="G5" s="51">
        <f>'🎯 VALUE-BASED PRICING'!B21</f>
        <v>715.00000000000011</v>
      </c>
    </row>
    <row r="6" spans="1:12" ht="19.5" customHeight="1" x14ac:dyDescent="0.25">
      <c r="A6" s="3" t="str">
        <f>'📦 PRODUCT INPUTS'!B5</f>
        <v>Starter Pack</v>
      </c>
      <c r="B6" s="12">
        <f>'💰 COST-PLUS PRICING'!C13</f>
        <v>323.07692307692304</v>
      </c>
      <c r="C6" s="12">
        <f>'💰 COST-PLUS PRICING'!C20</f>
        <v>336</v>
      </c>
      <c r="D6" s="12">
        <f>'💰 COST-PLUS PRICING'!C28</f>
        <v>329.99990281000572</v>
      </c>
      <c r="E6" s="49">
        <f>'🎯 VALUE-BASED PRICING'!C24</f>
        <v>323.07692307692304</v>
      </c>
      <c r="F6" s="50">
        <f>'🎯 VALUE-BASED PRICING'!C15</f>
        <v>223.09090909090909</v>
      </c>
      <c r="G6" s="51">
        <f>'🎯 VALUE-BASED PRICING'!C21</f>
        <v>715.00000000000011</v>
      </c>
    </row>
    <row r="7" spans="1:12" ht="19.5" customHeight="1" x14ac:dyDescent="0.25">
      <c r="A7" s="3" t="str">
        <f>'📦 PRODUCT INPUTS'!B6</f>
        <v>Premium Bundle</v>
      </c>
      <c r="B7" s="12">
        <f>'💰 COST-PLUS PRICING'!D13</f>
        <v>1046.1538461538462</v>
      </c>
      <c r="C7" s="12">
        <f>'💰 COST-PLUS PRICING'!D20</f>
        <v>1088</v>
      </c>
      <c r="D7" s="12">
        <f>'💰 COST-PLUS PRICING'!D28</f>
        <v>909.13121594131883</v>
      </c>
      <c r="E7" s="49" t="str">
        <f>'🎯 VALUE-BASED PRICING'!D24</f>
        <v>⚠ UNVIABLE</v>
      </c>
      <c r="F7" s="50">
        <f>'🎯 VALUE-BASED PRICING'!D15</f>
        <v>802.22222222222217</v>
      </c>
      <c r="G7" s="51">
        <f>'🎯 VALUE-BASED PRICING'!D21</f>
        <v>715.00000000000011</v>
      </c>
    </row>
    <row r="8" spans="1:12" ht="19.5" customHeight="1" x14ac:dyDescent="0.25">
      <c r="A8" s="3" t="str">
        <f>'📦 PRODUCT INPUTS'!B7</f>
        <v>Service Plan</v>
      </c>
      <c r="B8" s="12">
        <f>'💰 COST-PLUS PRICING'!E13</f>
        <v>692.30769230769226</v>
      </c>
      <c r="C8" s="12">
        <f>'💰 COST-PLUS PRICING'!E20</f>
        <v>720</v>
      </c>
      <c r="D8" s="12">
        <f>'💰 COST-PLUS PRICING'!E28</f>
        <v>581.90899371909666</v>
      </c>
      <c r="E8" s="49">
        <f>'🎯 VALUE-BASED PRICING'!E24</f>
        <v>692.30769230769226</v>
      </c>
      <c r="F8" s="50">
        <f>'🎯 VALUE-BASED PRICING'!E15</f>
        <v>475</v>
      </c>
      <c r="G8" s="51">
        <f>'🎯 VALUE-BASED PRICING'!E21</f>
        <v>715.00000000000011</v>
      </c>
    </row>
    <row r="9" spans="1:12" ht="19.5" customHeight="1" x14ac:dyDescent="0.25">
      <c r="A9" s="3" t="str">
        <f>'📦 PRODUCT INPUTS'!B8</f>
        <v>Bulk Unit</v>
      </c>
      <c r="B9" s="12">
        <f>'💰 COST-PLUS PRICING'!F13</f>
        <v>223.07692307692307</v>
      </c>
      <c r="C9" s="12">
        <f>'💰 COST-PLUS PRICING'!F20</f>
        <v>232</v>
      </c>
      <c r="D9" s="12">
        <f>'💰 COST-PLUS PRICING'!F28</f>
        <v>256.13121594131883</v>
      </c>
      <c r="E9" s="49">
        <f>'🎯 VALUE-BASED PRICING'!F24</f>
        <v>223.07692307692307</v>
      </c>
      <c r="F9" s="50">
        <f>'🎯 VALUE-BASED PRICING'!F15</f>
        <v>149.22222222222223</v>
      </c>
      <c r="G9" s="51">
        <f>'🎯 VALUE-BASED PRICING'!F21</f>
        <v>715.00000000000011</v>
      </c>
    </row>
    <row r="11" spans="1:12" ht="27" customHeight="1" x14ac:dyDescent="0.25">
      <c r="A11" s="79" t="s">
        <v>180</v>
      </c>
      <c r="B11" s="79"/>
      <c r="C11" s="79"/>
      <c r="D11" s="79"/>
      <c r="E11" s="79"/>
      <c r="F11" s="79"/>
      <c r="G11" s="79"/>
      <c r="H11" s="79"/>
      <c r="I11" s="79"/>
      <c r="J11" s="79"/>
      <c r="K11" s="79"/>
      <c r="L11" s="79"/>
    </row>
    <row r="12" spans="1:12" ht="27" customHeight="1" x14ac:dyDescent="0.25"/>
    <row r="13" spans="1:12" ht="21.75" customHeight="1" x14ac:dyDescent="0.25">
      <c r="A13" s="71" t="s">
        <v>181</v>
      </c>
      <c r="B13" s="71"/>
      <c r="C13" s="71"/>
      <c r="D13" s="71"/>
      <c r="E13" s="71"/>
      <c r="F13" s="71"/>
      <c r="G13" s="71"/>
    </row>
    <row r="14" spans="1:12" ht="19.5" customHeight="1" x14ac:dyDescent="0.25">
      <c r="A14" s="3" t="s">
        <v>182</v>
      </c>
      <c r="B14" s="72">
        <f>'⚙ SETUP'!$B$11</f>
        <v>0.35</v>
      </c>
      <c r="C14" s="72"/>
    </row>
    <row r="15" spans="1:12" ht="19.5" customHeight="1" x14ac:dyDescent="0.25">
      <c r="A15" s="3" t="s">
        <v>183</v>
      </c>
      <c r="B15" s="72">
        <f>'⚙ SETUP'!$B$12</f>
        <v>0.6</v>
      </c>
      <c r="C15" s="72"/>
    </row>
    <row r="16" spans="1:12" ht="19.5" customHeight="1" x14ac:dyDescent="0.25">
      <c r="A16" s="3" t="s">
        <v>184</v>
      </c>
      <c r="B16" s="73">
        <f>'⚙ SETUP'!$B$13</f>
        <v>80</v>
      </c>
      <c r="C16" s="73"/>
    </row>
    <row r="17" spans="1:7" ht="19.5" customHeight="1" x14ac:dyDescent="0.25">
      <c r="A17" s="3" t="s">
        <v>185</v>
      </c>
      <c r="B17" s="74">
        <f>'⚙ SETUP'!$B$18</f>
        <v>650</v>
      </c>
      <c r="C17" s="74"/>
    </row>
    <row r="18" spans="1:7" ht="19.5" customHeight="1" x14ac:dyDescent="0.25">
      <c r="A18" s="3" t="s">
        <v>186</v>
      </c>
      <c r="B18" s="75">
        <f>'⚙ SETUP'!$B$19</f>
        <v>0.1</v>
      </c>
      <c r="C18" s="75"/>
    </row>
    <row r="19" spans="1:7" ht="19.5" customHeight="1" x14ac:dyDescent="0.25">
      <c r="A19" s="3" t="s">
        <v>187</v>
      </c>
      <c r="B19" s="69">
        <f>'⚙ SETUP'!$B$21</f>
        <v>1.4999999999999999E-2</v>
      </c>
      <c r="C19" s="69"/>
    </row>
    <row r="21" spans="1:7" ht="21.75" customHeight="1" x14ac:dyDescent="0.25">
      <c r="A21" s="70" t="s">
        <v>188</v>
      </c>
      <c r="B21" s="70"/>
      <c r="C21" s="70"/>
      <c r="D21" s="70"/>
      <c r="E21" s="70"/>
      <c r="F21" s="70"/>
      <c r="G21" s="70"/>
    </row>
    <row r="22" spans="1:7" ht="19.5" customHeight="1" x14ac:dyDescent="0.25">
      <c r="A22" s="52" t="s">
        <v>173</v>
      </c>
      <c r="B22" s="52" t="s">
        <v>189</v>
      </c>
      <c r="C22" s="52" t="s">
        <v>190</v>
      </c>
      <c r="D22" s="52" t="s">
        <v>191</v>
      </c>
      <c r="E22" s="52" t="s">
        <v>192</v>
      </c>
      <c r="F22" s="52" t="s">
        <v>193</v>
      </c>
    </row>
    <row r="23" spans="1:7" ht="15" customHeight="1" x14ac:dyDescent="0.25">
      <c r="A23" s="53" t="str">
        <f>'📦 PRODUCT INPUTS'!B4</f>
        <v>Widget Pro</v>
      </c>
      <c r="B23" s="54">
        <f>IFERROR('💰 COST-PLUS PRICING'!B13,0)</f>
        <v>584.61538461538464</v>
      </c>
      <c r="C23" s="54">
        <f>IFERROR('💰 COST-PLUS PRICING'!B20,0)</f>
        <v>608</v>
      </c>
      <c r="D23" s="54">
        <f>IFERROR('💰 COST-PLUS PRICING'!B28,0)</f>
        <v>532.22149371909666</v>
      </c>
      <c r="E23" s="54">
        <f>IFERROR('🎯 VALUE-BASED PRICING'!B24,0)</f>
        <v>584.61538461538464</v>
      </c>
      <c r="F23" s="54">
        <f>IFERROR('🎯 VALUE-BASED PRICING'!B15,0)</f>
        <v>425.3125</v>
      </c>
    </row>
    <row r="24" spans="1:7" ht="15" customHeight="1" x14ac:dyDescent="0.25">
      <c r="A24" s="53" t="str">
        <f>'📦 PRODUCT INPUTS'!B5</f>
        <v>Starter Pack</v>
      </c>
      <c r="B24" s="54">
        <f>IFERROR('💰 COST-PLUS PRICING'!C13,0)</f>
        <v>323.07692307692304</v>
      </c>
      <c r="C24" s="54">
        <f>IFERROR('💰 COST-PLUS PRICING'!C20,0)</f>
        <v>336</v>
      </c>
      <c r="D24" s="54">
        <f>IFERROR('💰 COST-PLUS PRICING'!C28,0)</f>
        <v>329.99990281000572</v>
      </c>
      <c r="E24" s="54">
        <f>IFERROR('🎯 VALUE-BASED PRICING'!C24,0)</f>
        <v>323.07692307692304</v>
      </c>
      <c r="F24" s="54">
        <f>IFERROR('🎯 VALUE-BASED PRICING'!C15,0)</f>
        <v>223.09090909090909</v>
      </c>
    </row>
    <row r="25" spans="1:7" ht="15" customHeight="1" x14ac:dyDescent="0.25">
      <c r="A25" s="53" t="str">
        <f>'📦 PRODUCT INPUTS'!B6</f>
        <v>Premium Bundle</v>
      </c>
      <c r="B25" s="54">
        <f>IFERROR('💰 COST-PLUS PRICING'!D13,0)</f>
        <v>1046.1538461538462</v>
      </c>
      <c r="C25" s="54">
        <f>IFERROR('💰 COST-PLUS PRICING'!D20,0)</f>
        <v>1088</v>
      </c>
      <c r="D25" s="54">
        <f>IFERROR('💰 COST-PLUS PRICING'!D28,0)</f>
        <v>909.13121594131883</v>
      </c>
      <c r="E25" s="54" t="str">
        <f>IFERROR('🎯 VALUE-BASED PRICING'!D24,0)</f>
        <v>⚠ UNVIABLE</v>
      </c>
      <c r="F25" s="54">
        <f>IFERROR('🎯 VALUE-BASED PRICING'!D15,0)</f>
        <v>802.22222222222217</v>
      </c>
    </row>
    <row r="26" spans="1:7" ht="15" customHeight="1" x14ac:dyDescent="0.25">
      <c r="A26" s="53" t="str">
        <f>'📦 PRODUCT INPUTS'!B7</f>
        <v>Service Plan</v>
      </c>
      <c r="B26" s="54">
        <f>IFERROR('💰 COST-PLUS PRICING'!E13,0)</f>
        <v>692.30769230769226</v>
      </c>
      <c r="C26" s="54">
        <f>IFERROR('💰 COST-PLUS PRICING'!E20,0)</f>
        <v>720</v>
      </c>
      <c r="D26" s="54">
        <f>IFERROR('💰 COST-PLUS PRICING'!E28,0)</f>
        <v>581.90899371909666</v>
      </c>
      <c r="E26" s="54">
        <f>IFERROR('🎯 VALUE-BASED PRICING'!E24,0)</f>
        <v>692.30769230769226</v>
      </c>
      <c r="F26" s="54">
        <f>IFERROR('🎯 VALUE-BASED PRICING'!E15,0)</f>
        <v>475</v>
      </c>
    </row>
    <row r="27" spans="1:7" ht="15" customHeight="1" x14ac:dyDescent="0.25">
      <c r="A27" s="53" t="str">
        <f>'📦 PRODUCT INPUTS'!B8</f>
        <v>Bulk Unit</v>
      </c>
      <c r="B27" s="54">
        <f>IFERROR('💰 COST-PLUS PRICING'!F13,0)</f>
        <v>223.07692307692307</v>
      </c>
      <c r="C27" s="54">
        <f>IFERROR('💰 COST-PLUS PRICING'!F20,0)</f>
        <v>232</v>
      </c>
      <c r="D27" s="54">
        <f>IFERROR('💰 COST-PLUS PRICING'!F28,0)</f>
        <v>256.13121594131883</v>
      </c>
      <c r="E27" s="54">
        <f>IFERROR('🎯 VALUE-BASED PRICING'!F24,0)</f>
        <v>223.07692307692307</v>
      </c>
      <c r="F27" s="54">
        <f>IFERROR('🎯 VALUE-BASED PRICING'!F15,0)</f>
        <v>149.22222222222223</v>
      </c>
    </row>
    <row r="29" spans="1:7" ht="30" customHeight="1" x14ac:dyDescent="0.25">
      <c r="A29" s="71" t="s">
        <v>194</v>
      </c>
      <c r="B29" s="71"/>
      <c r="C29" s="71"/>
      <c r="D29" s="71"/>
      <c r="E29" s="71"/>
      <c r="F29" s="71"/>
      <c r="G29" s="71"/>
    </row>
    <row r="30" spans="1:7" ht="15" customHeight="1" x14ac:dyDescent="0.25">
      <c r="A30" s="52" t="s">
        <v>195</v>
      </c>
      <c r="B30" s="52" t="s">
        <v>161</v>
      </c>
    </row>
    <row r="31" spans="1:7" ht="15" customHeight="1" x14ac:dyDescent="0.25">
      <c r="A31" s="54">
        <f>IFERROR('📊 PRICE SENSITIVITY'!A5,0)</f>
        <v>399</v>
      </c>
      <c r="B31" s="54">
        <f>IFERROR('📊 PRICE SENSITIVITY'!H5,0)</f>
        <v>-61400</v>
      </c>
    </row>
    <row r="32" spans="1:7" ht="15" customHeight="1" x14ac:dyDescent="0.25">
      <c r="A32" s="54">
        <f>IFERROR('📊 PRICE SENSITIVITY'!A6,0)</f>
        <v>418</v>
      </c>
      <c r="B32" s="54">
        <f>IFERROR('📊 PRICE SENSITIVITY'!H6,0)</f>
        <v>15702</v>
      </c>
    </row>
    <row r="33" spans="1:2" ht="15" customHeight="1" x14ac:dyDescent="0.25">
      <c r="A33" s="54">
        <f>IFERROR('📊 PRICE SENSITIVITY'!A7,0)</f>
        <v>456</v>
      </c>
      <c r="B33" s="54">
        <f>IFERROR('📊 PRICE SENSITIVITY'!H7,0)</f>
        <v>150336</v>
      </c>
    </row>
    <row r="34" spans="1:2" ht="15" customHeight="1" x14ac:dyDescent="0.25">
      <c r="A34" s="54">
        <f>IFERROR('📊 PRICE SENSITIVITY'!A8,0)</f>
        <v>494</v>
      </c>
      <c r="B34" s="54">
        <f>IFERROR('📊 PRICE SENSITIVITY'!H8,0)</f>
        <v>258902</v>
      </c>
    </row>
    <row r="35" spans="1:2" ht="15" customHeight="1" x14ac:dyDescent="0.25">
      <c r="A35" s="54">
        <f>IFERROR('📊 PRICE SENSITIVITY'!A9,0)</f>
        <v>532</v>
      </c>
      <c r="B35" s="54">
        <f>IFERROR('📊 PRICE SENSITIVITY'!H9,0)</f>
        <v>341400</v>
      </c>
    </row>
    <row r="36" spans="1:2" ht="15" customHeight="1" x14ac:dyDescent="0.25">
      <c r="A36" s="54">
        <f>IFERROR('📊 PRICE SENSITIVITY'!A10,0)</f>
        <v>570</v>
      </c>
      <c r="B36" s="54">
        <f>IFERROR('📊 PRICE SENSITIVITY'!H10,0)</f>
        <v>397830</v>
      </c>
    </row>
    <row r="37" spans="1:2" ht="15" customHeight="1" x14ac:dyDescent="0.25">
      <c r="A37" s="54">
        <f>IFERROR('📊 PRICE SENSITIVITY'!A11,0)</f>
        <v>608</v>
      </c>
      <c r="B37" s="54">
        <f>IFERROR('📊 PRICE SENSITIVITY'!H11,0)</f>
        <v>428192</v>
      </c>
    </row>
    <row r="38" spans="1:2" ht="15" customHeight="1" x14ac:dyDescent="0.25">
      <c r="A38" s="54">
        <f>IFERROR('📊 PRICE SENSITIVITY'!A12,0)</f>
        <v>646</v>
      </c>
      <c r="B38" s="54">
        <f>IFERROR('📊 PRICE SENSITIVITY'!H12,0)</f>
        <v>432486</v>
      </c>
    </row>
    <row r="39" spans="1:2" ht="15" customHeight="1" x14ac:dyDescent="0.25">
      <c r="A39" s="54">
        <f>IFERROR('📊 PRICE SENSITIVITY'!A13,0)</f>
        <v>684</v>
      </c>
      <c r="B39" s="54">
        <f>IFERROR('📊 PRICE SENSITIVITY'!H13,0)</f>
        <v>411016</v>
      </c>
    </row>
    <row r="40" spans="1:2" ht="15" customHeight="1" x14ac:dyDescent="0.25">
      <c r="A40" s="54">
        <f>IFERROR('📊 PRICE SENSITIVITY'!A14,0)</f>
        <v>722</v>
      </c>
      <c r="B40" s="54">
        <f>IFERROR('📊 PRICE SENSITIVITY'!H14,0)</f>
        <v>363212</v>
      </c>
    </row>
    <row r="41" spans="1:2" ht="15" customHeight="1" x14ac:dyDescent="0.25">
      <c r="A41" s="54">
        <f>IFERROR('📊 PRICE SENSITIVITY'!A15,0)</f>
        <v>760</v>
      </c>
      <c r="B41" s="54">
        <f>IFERROR('📊 PRICE SENSITIVITY'!H15,0)</f>
        <v>289340</v>
      </c>
    </row>
    <row r="42" spans="1:2" ht="15" customHeight="1" x14ac:dyDescent="0.25">
      <c r="A42" s="54">
        <f>IFERROR('📊 PRICE SENSITIVITY'!A16,0)</f>
        <v>836</v>
      </c>
      <c r="B42" s="54">
        <f>IFERROR('📊 PRICE SENSITIVITY'!H16,0)</f>
        <v>63392</v>
      </c>
    </row>
  </sheetData>
  <sheetProtection algorithmName="SHA-512" hashValue="jlpTIoAWQ3Vzh2AjoWtzq7UPlNH8m/1dPAwKergmyMIuDLlzQ6037xO3nf8vSjuKYxni3g9exE7HEOI5bilkMQ==" saltValue="OEU/xx2OdprfGGeBt64kZg==" spinCount="100000" sheet="1" objects="1" scenarios="1"/>
  <mergeCells count="13">
    <mergeCell ref="A1:L1"/>
    <mergeCell ref="A2:L2"/>
    <mergeCell ref="A3:G3"/>
    <mergeCell ref="A11:L11"/>
    <mergeCell ref="A13:G13"/>
    <mergeCell ref="B19:C19"/>
    <mergeCell ref="A21:G21"/>
    <mergeCell ref="A29:G29"/>
    <mergeCell ref="B14:C14"/>
    <mergeCell ref="B15:C15"/>
    <mergeCell ref="B16:C16"/>
    <mergeCell ref="B17:C17"/>
    <mergeCell ref="B18:C18"/>
  </mergeCell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 COVER</vt:lpstr>
      <vt:lpstr>📖 HOW TO USE</vt:lpstr>
      <vt:lpstr>⚙ SETUP</vt:lpstr>
      <vt:lpstr>📦 PRODUCT INPUTS</vt:lpstr>
      <vt:lpstr>💰 COST-PLUS PRICING</vt:lpstr>
      <vt:lpstr>🎯 VALUE-BASED PRICING</vt:lpstr>
      <vt:lpstr>📊 PRICE SENSITIVITY</vt:lpstr>
      <vt:lpstr>📈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 roy</dc:creator>
  <dc:description/>
  <cp:lastModifiedBy>madhu roy</cp:lastModifiedBy>
  <cp:revision>5</cp:revision>
  <dcterms:created xsi:type="dcterms:W3CDTF">2026-09-03T15:44:51Z</dcterms:created>
  <dcterms:modified xsi:type="dcterms:W3CDTF">2026-09-04T07:23:30Z</dcterms:modified>
</cp:coreProperties>
</file>