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ACER Data website\MAYA\CAMSROY website\Excel Template\make vs buy template\"/>
    </mc:Choice>
  </mc:AlternateContent>
  <xr:revisionPtr revIDLastSave="0" documentId="8_{D367A68B-FAFA-451D-97E8-AFB6522B723F}" xr6:coauthVersionLast="47" xr6:coauthVersionMax="47" xr10:uidLastSave="{00000000-0000-0000-0000-000000000000}"/>
  <bookViews>
    <workbookView xWindow="-120" yWindow="-120" windowWidth="25440" windowHeight="15270" tabRatio="500" xr2:uid="{00000000-000D-0000-FFFF-FFFF00000000}"/>
  </bookViews>
  <sheets>
    <sheet name="🏠 COVER" sheetId="1" r:id="rId1"/>
    <sheet name="⚙ SETUP" sheetId="2" r:id="rId2"/>
    <sheet name="📦 PRODUCT INPUTS" sheetId="3" r:id="rId3"/>
    <sheet name="⚖ MAKE OR BUY" sheetId="4" r:id="rId4"/>
    <sheet name="📊 SENSITIVITY" sheetId="5" r:id="rId5"/>
    <sheet name="📖 HOW TO USE"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12" i="5" l="1"/>
  <c r="A111" i="5"/>
  <c r="A110" i="5"/>
  <c r="A109" i="5"/>
  <c r="A108" i="5"/>
  <c r="A107" i="5"/>
  <c r="A106" i="5"/>
  <c r="A105" i="5"/>
  <c r="A104" i="5"/>
  <c r="A103" i="5"/>
  <c r="A98" i="5"/>
  <c r="A97" i="5"/>
  <c r="A96" i="5"/>
  <c r="A95" i="5"/>
  <c r="A94" i="5"/>
  <c r="A93" i="5"/>
  <c r="A92" i="5"/>
  <c r="A91" i="5"/>
  <c r="C90" i="5"/>
  <c r="A90" i="5"/>
  <c r="B90" i="5" s="1"/>
  <c r="A89" i="5"/>
  <c r="A84" i="5"/>
  <c r="A83" i="5"/>
  <c r="A82" i="5"/>
  <c r="A81" i="5"/>
  <c r="A80" i="5"/>
  <c r="A79" i="5"/>
  <c r="A78" i="5"/>
  <c r="A77" i="5"/>
  <c r="A76" i="5"/>
  <c r="A75" i="5"/>
  <c r="A70" i="5"/>
  <c r="A69" i="5"/>
  <c r="A68" i="5"/>
  <c r="A67" i="5"/>
  <c r="A66" i="5"/>
  <c r="A65" i="5"/>
  <c r="A64" i="5"/>
  <c r="A63" i="5"/>
  <c r="A62" i="5"/>
  <c r="A61" i="5"/>
  <c r="A56" i="5"/>
  <c r="A55" i="5"/>
  <c r="A54" i="5"/>
  <c r="A53" i="5"/>
  <c r="A52" i="5"/>
  <c r="A51" i="5"/>
  <c r="A50" i="5"/>
  <c r="A49" i="5"/>
  <c r="A48" i="5"/>
  <c r="A47" i="5"/>
  <c r="A42" i="5"/>
  <c r="A41" i="5"/>
  <c r="A40" i="5"/>
  <c r="A39" i="5"/>
  <c r="A38" i="5"/>
  <c r="A37" i="5"/>
  <c r="A36" i="5"/>
  <c r="A35" i="5"/>
  <c r="A34" i="5"/>
  <c r="A33" i="5"/>
  <c r="A28" i="5"/>
  <c r="A27" i="5"/>
  <c r="A26" i="5"/>
  <c r="C25" i="5"/>
  <c r="A25" i="5"/>
  <c r="B25" i="5" s="1"/>
  <c r="A24" i="5"/>
  <c r="A23" i="5"/>
  <c r="A22" i="5"/>
  <c r="A21" i="5"/>
  <c r="A20" i="5"/>
  <c r="A19" i="5"/>
  <c r="A14" i="5"/>
  <c r="A13" i="5"/>
  <c r="A12" i="5"/>
  <c r="A11" i="5"/>
  <c r="A10" i="5"/>
  <c r="A9" i="5"/>
  <c r="C8" i="5"/>
  <c r="A8" i="5"/>
  <c r="B8" i="5" s="1"/>
  <c r="C7" i="5"/>
  <c r="A7" i="5"/>
  <c r="B7" i="5" s="1"/>
  <c r="A6" i="5"/>
  <c r="A5" i="5"/>
  <c r="B57" i="4"/>
  <c r="D56" i="4"/>
  <c r="D55" i="4"/>
  <c r="D54" i="4"/>
  <c r="D53" i="4"/>
  <c r="D52" i="4"/>
  <c r="D51" i="4"/>
  <c r="E44" i="4"/>
  <c r="D44" i="4"/>
  <c r="C44" i="4"/>
  <c r="B44" i="4"/>
  <c r="A44" i="4"/>
  <c r="E43" i="4"/>
  <c r="D43" i="4"/>
  <c r="F43" i="4" s="1"/>
  <c r="C43" i="4"/>
  <c r="B43" i="4"/>
  <c r="A43" i="4"/>
  <c r="E42" i="4"/>
  <c r="D42" i="4"/>
  <c r="C42" i="4"/>
  <c r="B42" i="4"/>
  <c r="A42" i="4"/>
  <c r="E41" i="4"/>
  <c r="D41" i="4"/>
  <c r="C41" i="4"/>
  <c r="B41" i="4"/>
  <c r="A41" i="4"/>
  <c r="E40" i="4"/>
  <c r="D40" i="4"/>
  <c r="C40" i="4"/>
  <c r="B40" i="4"/>
  <c r="A40" i="4"/>
  <c r="E39" i="4"/>
  <c r="D39" i="4"/>
  <c r="C39" i="4"/>
  <c r="B39" i="4"/>
  <c r="A39" i="4"/>
  <c r="E38" i="4"/>
  <c r="D38" i="4"/>
  <c r="C38" i="4"/>
  <c r="B38" i="4"/>
  <c r="A38" i="4"/>
  <c r="E37" i="4"/>
  <c r="D37" i="4"/>
  <c r="C37" i="4"/>
  <c r="B37" i="4"/>
  <c r="A37" i="4"/>
  <c r="C28" i="4"/>
  <c r="B28" i="4"/>
  <c r="F27" i="4"/>
  <c r="E27" i="4"/>
  <c r="C25" i="4"/>
  <c r="B25" i="4"/>
  <c r="F24" i="4"/>
  <c r="E24" i="4"/>
  <c r="C22" i="4"/>
  <c r="B22" i="4"/>
  <c r="F21" i="4"/>
  <c r="E21" i="4"/>
  <c r="C19" i="4"/>
  <c r="B19" i="4"/>
  <c r="F18" i="4"/>
  <c r="E18" i="4"/>
  <c r="C16" i="4"/>
  <c r="B16" i="4"/>
  <c r="F15" i="4"/>
  <c r="E15" i="4"/>
  <c r="C13" i="4"/>
  <c r="B13" i="4"/>
  <c r="F12" i="4"/>
  <c r="E12" i="4"/>
  <c r="C10" i="4"/>
  <c r="B10" i="4"/>
  <c r="D10" i="4" s="1"/>
  <c r="F9" i="4"/>
  <c r="E9" i="4"/>
  <c r="C7" i="4"/>
  <c r="B7" i="4"/>
  <c r="F6" i="4"/>
  <c r="E6" i="4"/>
  <c r="H12" i="3"/>
  <c r="G12" i="3"/>
  <c r="J11" i="3"/>
  <c r="E11" i="3"/>
  <c r="F11" i="3" s="1"/>
  <c r="J10" i="3"/>
  <c r="E10" i="3"/>
  <c r="F10" i="3" s="1"/>
  <c r="J9" i="3"/>
  <c r="E9" i="3"/>
  <c r="F9" i="3" s="1"/>
  <c r="J8" i="3"/>
  <c r="E8" i="3"/>
  <c r="F8" i="3" s="1"/>
  <c r="J7" i="3"/>
  <c r="E7" i="3"/>
  <c r="F7" i="3" s="1"/>
  <c r="J6" i="3"/>
  <c r="E6" i="3"/>
  <c r="F6" i="3" s="1"/>
  <c r="J5" i="3"/>
  <c r="E5" i="3"/>
  <c r="F5" i="3" s="1"/>
  <c r="J4" i="3"/>
  <c r="E4" i="3"/>
  <c r="F4" i="3" s="1"/>
  <c r="D57" i="4" l="1"/>
  <c r="F57" i="4" s="1"/>
  <c r="B62" i="4"/>
  <c r="B63" i="4" s="1"/>
  <c r="B64" i="4" s="1"/>
  <c r="F44" i="4"/>
  <c r="G44" i="4"/>
  <c r="C112" i="5"/>
  <c r="B112" i="5"/>
  <c r="C111" i="5"/>
  <c r="B111" i="5"/>
  <c r="C110" i="5"/>
  <c r="B110" i="5"/>
  <c r="C109" i="5"/>
  <c r="B109" i="5"/>
  <c r="C108" i="5"/>
  <c r="B108" i="5"/>
  <c r="C107" i="5"/>
  <c r="B107" i="5"/>
  <c r="C106" i="5"/>
  <c r="B106" i="5"/>
  <c r="C105" i="5"/>
  <c r="B105" i="5"/>
  <c r="C104" i="5"/>
  <c r="B104" i="5"/>
  <c r="C103" i="5"/>
  <c r="B103" i="5"/>
  <c r="C98" i="5"/>
  <c r="B98" i="5"/>
  <c r="C97" i="5"/>
  <c r="B97" i="5"/>
  <c r="B96" i="5"/>
  <c r="C96" i="5"/>
  <c r="B95" i="5"/>
  <c r="C95" i="5"/>
  <c r="B94" i="5"/>
  <c r="C94" i="5"/>
  <c r="B93" i="5"/>
  <c r="C93" i="5"/>
  <c r="B92" i="5"/>
  <c r="C92" i="5"/>
  <c r="C91" i="5"/>
  <c r="B91" i="5"/>
  <c r="D90" i="5"/>
  <c r="E90" i="5"/>
  <c r="B89" i="5"/>
  <c r="C89" i="5"/>
  <c r="C84" i="5"/>
  <c r="B84" i="5"/>
  <c r="B83" i="5"/>
  <c r="C83" i="5"/>
  <c r="C82" i="5"/>
  <c r="B82" i="5"/>
  <c r="C81" i="5"/>
  <c r="B81" i="5"/>
  <c r="C80" i="5"/>
  <c r="B80" i="5"/>
  <c r="C79" i="5"/>
  <c r="B79" i="5"/>
  <c r="B78" i="5"/>
  <c r="C78" i="5"/>
  <c r="C77" i="5"/>
  <c r="B77" i="5"/>
  <c r="B76" i="5"/>
  <c r="C76" i="5"/>
  <c r="B75" i="5"/>
  <c r="C75" i="5"/>
  <c r="B70" i="5"/>
  <c r="C70" i="5"/>
  <c r="B69" i="5"/>
  <c r="C69" i="5"/>
  <c r="B68" i="5"/>
  <c r="C68" i="5"/>
  <c r="B67" i="5"/>
  <c r="C67" i="5"/>
  <c r="B66" i="5"/>
  <c r="C66" i="5"/>
  <c r="C65" i="5"/>
  <c r="B65" i="5"/>
  <c r="B64" i="5"/>
  <c r="C64" i="5"/>
  <c r="B63" i="5"/>
  <c r="C63" i="5"/>
  <c r="B62" i="5"/>
  <c r="C62" i="5"/>
  <c r="B61" i="5"/>
  <c r="C61" i="5"/>
  <c r="C56" i="5"/>
  <c r="B56" i="5"/>
  <c r="B55" i="5"/>
  <c r="C55" i="5"/>
  <c r="C54" i="5"/>
  <c r="B54" i="5"/>
  <c r="B53" i="5"/>
  <c r="C53" i="5"/>
  <c r="C52" i="5"/>
  <c r="B52" i="5"/>
  <c r="B51" i="5"/>
  <c r="C51" i="5"/>
  <c r="C50" i="5"/>
  <c r="B50" i="5"/>
  <c r="C49" i="5"/>
  <c r="B49" i="5"/>
  <c r="C48" i="5"/>
  <c r="B48" i="5"/>
  <c r="B47" i="5"/>
  <c r="C47" i="5"/>
  <c r="B42" i="5"/>
  <c r="C42" i="5"/>
  <c r="C41" i="5"/>
  <c r="B41" i="5"/>
  <c r="C40" i="5"/>
  <c r="B40" i="5"/>
  <c r="C39" i="5"/>
  <c r="B39" i="5"/>
  <c r="B38" i="5"/>
  <c r="C38" i="5"/>
  <c r="C37" i="5"/>
  <c r="B37" i="5"/>
  <c r="C36" i="5"/>
  <c r="B36" i="5"/>
  <c r="C35" i="5"/>
  <c r="B35" i="5"/>
  <c r="C34" i="5"/>
  <c r="B34" i="5"/>
  <c r="B33" i="5"/>
  <c r="C33" i="5"/>
  <c r="C28" i="5"/>
  <c r="B28" i="5"/>
  <c r="B27" i="5"/>
  <c r="C27" i="5"/>
  <c r="C26" i="5"/>
  <c r="B26" i="5"/>
  <c r="D25" i="5"/>
  <c r="E25" i="5"/>
  <c r="B24" i="5"/>
  <c r="C24" i="5"/>
  <c r="B23" i="5"/>
  <c r="C23" i="5"/>
  <c r="B22" i="5"/>
  <c r="C22" i="5"/>
  <c r="C21" i="5"/>
  <c r="B21" i="5"/>
  <c r="C20" i="5"/>
  <c r="B20" i="5"/>
  <c r="C19" i="5"/>
  <c r="B19" i="5"/>
  <c r="B14" i="5"/>
  <c r="C14" i="5"/>
  <c r="C13" i="5"/>
  <c r="B13" i="5"/>
  <c r="C12" i="5"/>
  <c r="B12" i="5"/>
  <c r="C11" i="5"/>
  <c r="B11" i="5"/>
  <c r="C10" i="5"/>
  <c r="B10" i="5"/>
  <c r="B9" i="5"/>
  <c r="C9" i="5"/>
  <c r="E8" i="5"/>
  <c r="D8" i="5"/>
  <c r="D7" i="5"/>
  <c r="E7" i="5"/>
  <c r="C6" i="5"/>
  <c r="B6" i="5"/>
  <c r="B5" i="5"/>
  <c r="C5" i="5"/>
  <c r="G42" i="4"/>
  <c r="F42" i="4"/>
  <c r="G41" i="4"/>
  <c r="F41" i="4"/>
  <c r="G40" i="4"/>
  <c r="F40" i="4"/>
  <c r="F39" i="4"/>
  <c r="G38" i="4"/>
  <c r="F38" i="4"/>
  <c r="F37" i="4"/>
  <c r="D28" i="4"/>
  <c r="D25" i="4"/>
  <c r="D22" i="4"/>
  <c r="D19" i="4"/>
  <c r="D16" i="4"/>
  <c r="G16" i="4" s="1"/>
  <c r="F16" i="4"/>
  <c r="D13" i="4"/>
  <c r="F10" i="4"/>
  <c r="G10" i="4"/>
  <c r="D7" i="4"/>
  <c r="J12" i="3"/>
  <c r="K4" i="3" s="1"/>
  <c r="G28" i="4" l="1"/>
  <c r="F28" i="4"/>
  <c r="D112" i="5"/>
  <c r="E112" i="5"/>
  <c r="D111" i="5"/>
  <c r="E111" i="5"/>
  <c r="D110" i="5"/>
  <c r="E110" i="5"/>
  <c r="D109" i="5"/>
  <c r="E109" i="5"/>
  <c r="D108" i="5"/>
  <c r="E108" i="5"/>
  <c r="D107" i="5"/>
  <c r="E107" i="5"/>
  <c r="D106" i="5"/>
  <c r="E106" i="5"/>
  <c r="D105" i="5"/>
  <c r="E105" i="5"/>
  <c r="D104" i="5"/>
  <c r="E104" i="5"/>
  <c r="D103" i="5"/>
  <c r="E103" i="5"/>
  <c r="D98" i="5"/>
  <c r="E98" i="5"/>
  <c r="D97" i="5"/>
  <c r="E97" i="5"/>
  <c r="D96" i="5"/>
  <c r="E96" i="5"/>
  <c r="D95" i="5"/>
  <c r="E95" i="5"/>
  <c r="D94" i="5"/>
  <c r="E94" i="5"/>
  <c r="D93" i="5"/>
  <c r="E93" i="5"/>
  <c r="D92" i="5"/>
  <c r="E92" i="5"/>
  <c r="D91" i="5"/>
  <c r="E91" i="5"/>
  <c r="D89" i="5"/>
  <c r="E89" i="5"/>
  <c r="D84" i="5"/>
  <c r="E84" i="5"/>
  <c r="D83" i="5"/>
  <c r="E83" i="5"/>
  <c r="D82" i="5"/>
  <c r="E82" i="5"/>
  <c r="D81" i="5"/>
  <c r="E81" i="5"/>
  <c r="D80" i="5"/>
  <c r="E80" i="5"/>
  <c r="D79" i="5"/>
  <c r="E79" i="5"/>
  <c r="D78" i="5"/>
  <c r="E78" i="5"/>
  <c r="D77" i="5"/>
  <c r="E77" i="5"/>
  <c r="D76" i="5"/>
  <c r="E76" i="5"/>
  <c r="D75" i="5"/>
  <c r="E75" i="5"/>
  <c r="D70" i="5"/>
  <c r="E70" i="5"/>
  <c r="D69" i="5"/>
  <c r="E69" i="5"/>
  <c r="D68" i="5"/>
  <c r="E68" i="5"/>
  <c r="D67" i="5"/>
  <c r="E67" i="5"/>
  <c r="D66" i="5"/>
  <c r="E66" i="5"/>
  <c r="D65" i="5"/>
  <c r="E65" i="5"/>
  <c r="D64" i="5"/>
  <c r="E64" i="5"/>
  <c r="D63" i="5"/>
  <c r="E63" i="5"/>
  <c r="D62" i="5"/>
  <c r="E62" i="5"/>
  <c r="D61" i="5"/>
  <c r="E61" i="5"/>
  <c r="D56" i="5"/>
  <c r="E56" i="5"/>
  <c r="D55" i="5"/>
  <c r="E55" i="5"/>
  <c r="D54" i="5"/>
  <c r="E54" i="5"/>
  <c r="D53" i="5"/>
  <c r="E53" i="5"/>
  <c r="D52" i="5"/>
  <c r="E52" i="5"/>
  <c r="D51" i="5"/>
  <c r="E51" i="5"/>
  <c r="D50" i="5"/>
  <c r="E50" i="5"/>
  <c r="D49" i="5"/>
  <c r="E49" i="5"/>
  <c r="D48" i="5"/>
  <c r="E48" i="5"/>
  <c r="D47" i="5"/>
  <c r="E47" i="5"/>
  <c r="D42" i="5"/>
  <c r="E42" i="5"/>
  <c r="D41" i="5"/>
  <c r="E41" i="5"/>
  <c r="D40" i="5"/>
  <c r="E40" i="5"/>
  <c r="D39" i="5"/>
  <c r="E39" i="5"/>
  <c r="D38" i="5"/>
  <c r="E38" i="5"/>
  <c r="D37" i="5"/>
  <c r="E37" i="5"/>
  <c r="D36" i="5"/>
  <c r="E36" i="5"/>
  <c r="D35" i="5"/>
  <c r="E35" i="5"/>
  <c r="D34" i="5"/>
  <c r="E34" i="5"/>
  <c r="D33" i="5"/>
  <c r="E33" i="5"/>
  <c r="D28" i="5"/>
  <c r="E28" i="5"/>
  <c r="E27" i="5"/>
  <c r="D27" i="5"/>
  <c r="E26" i="5"/>
  <c r="D26" i="5"/>
  <c r="D24" i="5"/>
  <c r="E24" i="5"/>
  <c r="D23" i="5"/>
  <c r="E23" i="5"/>
  <c r="E22" i="5"/>
  <c r="D22" i="5"/>
  <c r="E21" i="5"/>
  <c r="D21" i="5"/>
  <c r="D20" i="5"/>
  <c r="E20" i="5"/>
  <c r="D19" i="5"/>
  <c r="E19" i="5"/>
  <c r="E14" i="5"/>
  <c r="D14" i="5"/>
  <c r="D13" i="5"/>
  <c r="E13" i="5"/>
  <c r="D12" i="5"/>
  <c r="E12" i="5"/>
  <c r="D11" i="5"/>
  <c r="E11" i="5"/>
  <c r="D10" i="5"/>
  <c r="E10" i="5"/>
  <c r="D9" i="5"/>
  <c r="E9" i="5"/>
  <c r="D6" i="5"/>
  <c r="E6" i="5"/>
  <c r="D5" i="5"/>
  <c r="E5" i="5"/>
  <c r="K5" i="3"/>
  <c r="K6" i="3"/>
  <c r="K7" i="3"/>
  <c r="K8" i="3"/>
  <c r="K9" i="3"/>
  <c r="K10" i="3"/>
  <c r="K11" i="3"/>
  <c r="G25" i="4"/>
  <c r="G43" i="4" s="1"/>
  <c r="F25" i="4"/>
  <c r="G22" i="4"/>
  <c r="F22" i="4"/>
  <c r="G19" i="4"/>
  <c r="F19" i="4"/>
  <c r="G13" i="4"/>
  <c r="G39" i="4" s="1"/>
  <c r="F13" i="4"/>
  <c r="G7" i="4"/>
  <c r="G37" i="4" s="1"/>
  <c r="F7" i="4"/>
  <c r="B66" i="4" l="1"/>
  <c r="B65" i="4"/>
  <c r="A71" i="4" l="1"/>
</calcChain>
</file>

<file path=xl/sharedStrings.xml><?xml version="1.0" encoding="utf-8"?>
<sst xmlns="http://schemas.openxmlformats.org/spreadsheetml/2006/main" count="292" uniqueCount="225">
  <si>
    <t>📊  camsroy.com</t>
  </si>
  <si>
    <t>Smart Finance Templates  |  Built for Indian SMEs, CAs &amp; Operations Managers</t>
  </si>
  <si>
    <t>MAKE OR BUY
DECISION TEMPLATE</t>
  </si>
  <si>
    <t>Should You Manufacture In-House or Outsource to a Vendor?</t>
  </si>
  <si>
    <t>Crossover Volume · Total Cost Comparison · Qualitative Scorecard · Final Recommendation</t>
  </si>
  <si>
    <t>Company / Business Name</t>
  </si>
  <si>
    <t>[Enter Company Name]</t>
  </si>
  <si>
    <t>Financial Year</t>
  </si>
  <si>
    <t>FY 2025-26</t>
  </si>
  <si>
    <t>Reporting Currency</t>
  </si>
  <si>
    <t>INR (₹)</t>
  </si>
  <si>
    <t>Prepared By</t>
  </si>
  <si>
    <t>[Your Name]</t>
  </si>
  <si>
    <t>Decision Date</t>
  </si>
  <si>
    <t>[As-on Date]</t>
  </si>
  <si>
    <t>📋  WORKBOOK NAVIGATION</t>
  </si>
  <si>
    <t>⚙</t>
  </si>
  <si>
    <t xml:space="preserve">  SETUP  —  Tax rate, GST — shared with Break-Even template</t>
  </si>
  <si>
    <t>📦</t>
  </si>
  <si>
    <t xml:space="preserve">  PRODUCT INPUTS  —  Variable cost and volume per item — identical to Break-Even template</t>
  </si>
  <si>
    <t>⚖</t>
  </si>
  <si>
    <t xml:space="preserve">  MAKE OR BUY ANALYSIS  —  Core decision: per-unit cost, total cost, crossover volume, qualitative scorecard</t>
  </si>
  <si>
    <t>📊</t>
  </si>
  <si>
    <t xml:space="preserve">  SENSITIVITY  —  Total cost (Make vs Buy) across a volume range — see where crossover falls</t>
  </si>
  <si>
    <t>📖</t>
  </si>
  <si>
    <t xml:space="preserve">  HOW TO USE  —  Step-by-step guide, formula notes, when Make wins vs Buy</t>
  </si>
  <si>
    <t>🎨  COLOUR LEGEND</t>
  </si>
  <si>
    <t>Blue cells = Input (enter your data here)</t>
  </si>
  <si>
    <t>Green = Calculated output — auto-updates</t>
  </si>
  <si>
    <t>Gold = Decision output / key metric</t>
  </si>
  <si>
    <t>Red = Buy is cheaper at this volume</t>
  </si>
  <si>
    <t>Green (decision) = Make is cheaper at this volume</t>
  </si>
  <si>
    <t>💡  WHAT THIS TEMPLATE ANSWERS</t>
  </si>
  <si>
    <t>✓</t>
  </si>
  <si>
    <t>At what volume does making in-house become cheaper than buying from a vendor?</t>
  </si>
  <si>
    <t>For each component/product: what is the total monthly cost to Make vs Buy at current volume?</t>
  </si>
  <si>
    <t>How much do you save annually by choosing the right option — and is it worth the fixed investment?</t>
  </si>
  <si>
    <t>Qualitative scorecard: quality risk, IP risk, lead time, supply chain dependency — not just cost</t>
  </si>
  <si>
    <t>Final recommendation: Make / Buy / Indifferent, with the financial saving and key caveat</t>
  </si>
  <si>
    <t>Companion to the Break-Even template — shares identical product input structure and palette</t>
  </si>
  <si>
    <t>© camsroy.com  |  Free for personal &amp; commercial use  |  www.camsroy.com</t>
  </si>
  <si>
    <t>⚙  camsroy.com  |  MAKE OR BUY SETUP  —  Assumptions</t>
  </si>
  <si>
    <t>Identical to the Break-Even Analysis template. Configure once — all sheets reference these.</t>
  </si>
  <si>
    <t>📐  A. GENERAL ASSUMPTIONS</t>
  </si>
  <si>
    <t>Parameter</t>
  </si>
  <si>
    <t>Value</t>
  </si>
  <si>
    <t>Notes</t>
  </si>
  <si>
    <t>Corporate Tax Rate (for after-tax savings)</t>
  </si>
  <si>
    <t>25.17% incl. surcharge+cess (Sec 115BAA)</t>
  </si>
  <si>
    <t>Working Days per Month</t>
  </si>
  <si>
    <t>For annualising daily savings</t>
  </si>
  <si>
    <t>Non-Cash Depreciation in Make FC (₹/month)</t>
  </si>
  <si>
    <t>If Make fixed cost includes depreciation — subtract for cash analysis</t>
  </si>
  <si>
    <t>🎯  B. DECISION THRESHOLDS</t>
  </si>
  <si>
    <t>Minimum Annual Saving to Justify Make (₹)</t>
  </si>
  <si>
    <t>If annual saving &lt; this, prefer Buy even if Make is slightly cheaper</t>
  </si>
  <si>
    <t>Safety Margin on Crossover Volume (%)</t>
  </si>
  <si>
    <t>Make is only recommended if actual volume exceeds crossover by this margin</t>
  </si>
  <si>
    <t>🧾  C. GST RATES (Common Slabs)</t>
  </si>
  <si>
    <t>GST Slab</t>
  </si>
  <si>
    <t>Rate</t>
  </si>
  <si>
    <t>Typical Use</t>
  </si>
  <si>
    <t>Nil/Exempt</t>
  </si>
  <si>
    <t>Essentials, exports</t>
  </si>
  <si>
    <t>GST 5%</t>
  </si>
  <si>
    <t>Essential goods</t>
  </si>
  <si>
    <t>GST 12%</t>
  </si>
  <si>
    <t>Processed goods, standard services</t>
  </si>
  <si>
    <t>GST 18%</t>
  </si>
  <si>
    <t>Most goods &amp; services</t>
  </si>
  <si>
    <t>GST 28%</t>
  </si>
  <si>
    <t>Luxury / sin goods</t>
  </si>
  <si>
    <t>ℹ  Tax rate used only to compute after-tax annual savings. Minimum saving threshold avoids switching for marginal gains — adjust to your firm's policy.  |  © camsroy.com</t>
  </si>
  <si>
    <t>📦  camsroy.com  |  PRODUCT / COMPONENT INPUTS  —  Variable Cost &amp; Volume</t>
  </si>
  <si>
    <t>Identical structure to the Break-Even template. Variable Cost (col D) and Volume (col G) are the Make side inputs for the decision.</t>
  </si>
  <si>
    <t>#</t>
  </si>
  <si>
    <t>Component / Product Name</t>
  </si>
  <si>
    <t>Selling / Transfer
Price (₹/unit)</t>
  </si>
  <si>
    <t>Variable Cost
to Make (₹/unit)</t>
  </si>
  <si>
    <t>Contribution
Margin (₹)</t>
  </si>
  <si>
    <t>CM Ratio
(%)</t>
  </si>
  <si>
    <t>Expected Monthly
Volume (Units)</t>
  </si>
  <si>
    <t>Existing Fixed Cost
Allocated (₹/mo)</t>
  </si>
  <si>
    <t>GST
%</t>
  </si>
  <si>
    <t>Monthly
Revenue (₹)</t>
  </si>
  <si>
    <t>Revenue
Mix (%)</t>
  </si>
  <si>
    <t>Plastic Housing Component</t>
  </si>
  <si>
    <t>Electronic Sub-Assembly</t>
  </si>
  <si>
    <t>Packaging Material</t>
  </si>
  <si>
    <t>Metal Bracket</t>
  </si>
  <si>
    <t>Rubber Gasket</t>
  </si>
  <si>
    <t>PCB Module</t>
  </si>
  <si>
    <t>Cardboard Box (custom)</t>
  </si>
  <si>
    <t>Wiring Harness</t>
  </si>
  <si>
    <t>TOTAL / BLENDED</t>
  </si>
  <si>
    <t>100.0%</t>
  </si>
  <si>
    <t>ℹ  Variable Cost to Make (col D) = direct material + direct labour per unit. Existing Allocated Fixed Cost (col H) is for reference — the Make or Buy sheet uses INCREMENTAL fixed cost, which may differ if capacity already exists.  |  © camsroy.com</t>
  </si>
  <si>
    <t>⚖  camsroy.com  |  MAKE OR BUY ANALYSIS  —  Per-Unit · Total Cost · Crossover · Scorecard</t>
  </si>
  <si>
    <t>Blue = Input (vendor quote, incremental fixed cost, qualitative scores). Everything else calculates.</t>
  </si>
  <si>
    <t>💰  A. COST COMPARISON — PER UNIT AND TOTAL MONTHLY (at current volume)</t>
  </si>
  <si>
    <t>Component / Product</t>
  </si>
  <si>
    <t>MAKE
(₹/unit or ₹/mo)</t>
  </si>
  <si>
    <t>BUY
(₹/unit or ₹/mo)</t>
  </si>
  <si>
    <t>Cost
Difference (₹/mo)</t>
  </si>
  <si>
    <t>Make Cost
/Unit (₹)</t>
  </si>
  <si>
    <t>Buy Price
/Unit (₹)</t>
  </si>
  <si>
    <t>Annual Cost
Difference (₹)</t>
  </si>
  <si>
    <t xml:space="preserve">  Plastic Housing Component</t>
  </si>
  <si>
    <t xml:space="preserve">   Incremental Fixed Cost to Make (₹/month)</t>
  </si>
  <si>
    <t>Vendor Quote (₹/unit, ex-GST)</t>
  </si>
  <si>
    <t xml:space="preserve">   Total Monthly Cost (Plastic Housing Component)</t>
  </si>
  <si>
    <t xml:space="preserve">  Electronic Sub-Assembly</t>
  </si>
  <si>
    <t xml:space="preserve">   Total Monthly Cost (Electronic Sub-Assembly)</t>
  </si>
  <si>
    <t xml:space="preserve">  Packaging Material</t>
  </si>
  <si>
    <t xml:space="preserve">   Total Monthly Cost (Packaging Material)</t>
  </si>
  <si>
    <t xml:space="preserve">  Metal Bracket</t>
  </si>
  <si>
    <t xml:space="preserve">   Total Monthly Cost (Metal Bracket)</t>
  </si>
  <si>
    <t xml:space="preserve">  Rubber Gasket</t>
  </si>
  <si>
    <t xml:space="preserve">   Total Monthly Cost (Rubber Gasket)</t>
  </si>
  <si>
    <t xml:space="preserve">  PCB Module</t>
  </si>
  <si>
    <t xml:space="preserve">   Total Monthly Cost (PCB Module)</t>
  </si>
  <si>
    <t xml:space="preserve">  Cardboard Box (custom)</t>
  </si>
  <si>
    <t xml:space="preserve">   Total Monthly Cost (Cardboard Box (custom))</t>
  </si>
  <si>
    <t xml:space="preserve">  Wiring Harness</t>
  </si>
  <si>
    <t xml:space="preserve">   Total Monthly Cost (Wiring Harness)</t>
  </si>
  <si>
    <t>📍  B. CROSSOVER VOLUME — AT WHAT VOLUME DOES MAKE BEAT BUY?</t>
  </si>
  <si>
    <t>Component</t>
  </si>
  <si>
    <t>Make VC
(₹/unit)</t>
  </si>
  <si>
    <t>Buy Price
(₹/unit)</t>
  </si>
  <si>
    <t>Crossover
Volume (units)</t>
  </si>
  <si>
    <t>Current
Volume</t>
  </si>
  <si>
    <t>Buffer vs
Crossover</t>
  </si>
  <si>
    <t>Volume
Verdict</t>
  </si>
  <si>
    <t>🎯  C. QUALITATIVE SCORECARD (Score 1–5: 5 = strongly favours Make)</t>
  </si>
  <si>
    <t>Factor</t>
  </si>
  <si>
    <t>Weight
(%)</t>
  </si>
  <si>
    <t>Score
(1-5)</t>
  </si>
  <si>
    <t>Weighted
Score</t>
  </si>
  <si>
    <t>Interpretation</t>
  </si>
  <si>
    <t>Quality Control (In-house gives tighter control)</t>
  </si>
  <si>
    <t>5=full control, 1=vendor quality is superior</t>
  </si>
  <si>
    <t>IP / Confidentiality (risk of vendor copying design)</t>
  </si>
  <si>
    <t>5=high IP risk if outsourced, 1=no IP risk</t>
  </si>
  <si>
    <t>Lead Time / Flexibility (response to demand changes)</t>
  </si>
  <si>
    <t>5=vendor is slow/inflexible, 1=vendor is fast</t>
  </si>
  <si>
    <t>Supply Chain Risk (single vendor dependency)</t>
  </si>
  <si>
    <t>5=high dependency risk, 1=multiple vendors available</t>
  </si>
  <si>
    <t>Capacity Availability (can we make without new capex)</t>
  </si>
  <si>
    <t>5=spare capacity exists, 1=need significant investment</t>
  </si>
  <si>
    <t>Strategic Fit (is this a core competency?)</t>
  </si>
  <si>
    <t>5=core to what we do, 1=non-core/commodity</t>
  </si>
  <si>
    <t>QUALITATIVE COMPOSITE SCORE (max 5.0)</t>
  </si>
  <si>
    <t>🏆  D. CONSOLIDATED FINANCIAL SUMMARY</t>
  </si>
  <si>
    <t>Metric</t>
  </si>
  <si>
    <t>Total Monthly Saving — Make cheaper items</t>
  </si>
  <si>
    <t>Total Annual Saving (all products combined)</t>
  </si>
  <si>
    <t>After-Tax Annual Saving (assumes Make FC is all-cash; see col C if FC includes depreciation)</t>
  </si>
  <si>
    <t>If Make FC includes depreciation (Setup B7), true after-tax cash saving = (Annual Saving + Setup!B7×12×Tax Rate) × (1 - Tax Rate). Current formula B54×(1-tax) is correct when all FC is cash.</t>
  </si>
  <si>
    <t>Products where Make is cheaper</t>
  </si>
  <si>
    <t>Products where Buy is cheaper</t>
  </si>
  <si>
    <t>🏆  FINAL CONSOLIDATED RECOMMENDATION</t>
  </si>
  <si>
    <t>📊  camsroy.com  |  SENSITIVITY  —  Make vs Buy Total Cost Across Volume Range</t>
  </si>
  <si>
    <t>For each product: see total monthly cost to Make and Buy across 10 volume points. Crossover point highlighted in gold.</t>
  </si>
  <si>
    <t>📦  Plastic Housing Component</t>
  </si>
  <si>
    <t>Volume
(Units)</t>
  </si>
  <si>
    <t>Make Total
Cost (₹)</t>
  </si>
  <si>
    <t>Buy Total
Cost (₹)</t>
  </si>
  <si>
    <t>Cost
Difference (₹)</t>
  </si>
  <si>
    <t>Status</t>
  </si>
  <si>
    <t>Gold row = current expected volume. Negative difference = Make cheaper. © camsroy.com</t>
  </si>
  <si>
    <t>📦  Electronic Sub-Assembly</t>
  </si>
  <si>
    <t>📦  Packaging Material</t>
  </si>
  <si>
    <t>📦  Metal Bracket</t>
  </si>
  <si>
    <t>📦  Rubber Gasket</t>
  </si>
  <si>
    <t>📦  PCB Module</t>
  </si>
  <si>
    <t>📦  Cardboard Box (custom)</t>
  </si>
  <si>
    <t>📦  Wiring Harness</t>
  </si>
  <si>
    <t>camsroy.com  |  HOW TO USE  —  Make or Buy Decision Template</t>
  </si>
  <si>
    <t>STEP-BY-STEP GUIDE</t>
  </si>
  <si>
    <t xml:space="preserve">  Step 1 — SETUP Sheet</t>
  </si>
  <si>
    <t xml:space="preserve">    Set your Corporate Tax Rate, Safety Margin on Crossover Volume (default 20%), and Minimum Annual Saving Threshold (default Rs.5,00,000). The minimum threshold means: even if Make is technically cheaper, the recommendation shows amber if the annual saving is below this amount — switching from Buy to Make involves management effort and operational risk, and small savings may not justify it. Set to zero to disable.</t>
  </si>
  <si>
    <t xml:space="preserve">  Step 2 — PRODUCT INPUTS Sheet</t>
  </si>
  <si>
    <t xml:space="preserve">    Enter Variable Cost to Make (col D) and Expected Monthly Volume (col G). Same structure as the Break-Even template — copy inputs directly if you have that model.</t>
  </si>
  <si>
    <t xml:space="preserve">  Step 3 — MAKE OR BUY ANALYSIS — Section A</t>
  </si>
  <si>
    <t xml:space="preserve">    Two inputs per product: (1) Incremental Fixed Cost to Make per month — ONLY the additional fixed cost triggered by the Make decision. If spare capacity exists, this may be zero. (2) Vendor Quote per unit, ex-GST. The sheet calculates Make cost/unit, Buy price/unit, total monthly cost for each, and the monthly Cost Difference.</t>
  </si>
  <si>
    <t xml:space="preserve">  Step 4 — Understanding the Cost Difference column (col D)</t>
  </si>
  <si>
    <t xml:space="preserve">    Cost Difference = Make Total Cost - Buy Total Cost. NEGATIVE means Make is cheaper (Make costs less than Buy). POSITIVE means Buy is cheaper. The Decision column (col F) translates this: 'MAKE saves Rs.X/mo' or 'BUY saves Rs.X/mo'. Columns E and F show per-unit costs for quick comparison. Column G shows the annual cost difference magnitude.</t>
  </si>
  <si>
    <t xml:space="preserve">  Step 5 — Section B: Crossover Volume</t>
  </si>
  <si>
    <t xml:space="preserve">    Crossover Volume = Incremental Fixed Cost / (Buy Price - Make Variable Cost). Below crossover: Buy is cheaper. Above crossover: Make is cheaper. The buffer shows how far above or below crossover your volume is. Three conditions prevent a green MAKE verdict: (a) volume within 20% safety margin of crossover, (b) annual saving below the minimum threshold, or (c) Buy Price is at or below Make VC — in which case no crossover exists and UNVIABLE is shown.</t>
  </si>
  <si>
    <t xml:space="preserve">  Step 6 — Section C: Qualitative Scorecard</t>
  </si>
  <si>
    <t xml:space="preserve">    Score 1-5 per factor (5=strongly favours Make, 1=strongly favours Buy). Composite above 3.5 favours Make. Use to override marginal financial decisions — if Make saves Rs.80,000/year but IP risk is high, Buy may still be correct.</t>
  </si>
  <si>
    <t xml:space="preserve">  Step 7 — After-Tax Annual Saving (Section D, row 55)</t>
  </si>
  <si>
    <t xml:space="preserve">    After-Tax Saving = Annual Saving x (1 - Tax Rate). This assumes the saving flows directly to pre-tax profit — correct if your Incremental Make FC is all-cash costs. If FC includes depreciation on a new asset, the note in col C shows the adjusted formula. For most decisions this simplification is adequate.</t>
  </si>
  <si>
    <t xml:space="preserve">  Step 8 — Sensitivity Sheet</t>
  </si>
  <si>
    <t xml:space="preserve">    Shows Make vs Buy total cost at 10 volume levels (20% to 200% of current). The gold row is current volume. If the decision flips Make-to-Buy at only a 10% volume drop, the Make decision is fragile and warrants an amber flag.</t>
  </si>
  <si>
    <t>KEY FORMULAS</t>
  </si>
  <si>
    <t xml:space="preserve">    Crossover Volume = Incremental FC / (Buy Price - Make VC). Only valid when Buy Price &gt; Make VC.</t>
  </si>
  <si>
    <t xml:space="preserve">    Make Total Monthly = (Make VC x Volume) + Incremental FC</t>
  </si>
  <si>
    <t xml:space="preserve">    Buy Total Monthly = Vendor Quote x Volume</t>
  </si>
  <si>
    <t xml:space="preserve">    Cost Difference = Make Total - Buy Total. Negative = Make cheaper. Positive = Buy cheaper.</t>
  </si>
  <si>
    <t xml:space="preserve">    Make Cost per Unit = Make VC + (Incremental FC / Volume). Decreases as volume rises.</t>
  </si>
  <si>
    <t xml:space="preserve">    After-Tax Saving = Annual Saving x (1 - Tax Rate). Assumes all-cash FC.</t>
  </si>
  <si>
    <t>INCREMENTAL vs TOTAL FIXED COST — the most common error</t>
  </si>
  <si>
    <t xml:space="preserve">    Only enter fixed costs that would NOT exist if you chose Buy. If your factory has idle capacity and an existing machine can make this component, incremental FC is near zero. If Making requires new capex (e.g. Rs.30L machine), amortise it: Rs.30L / 60 months = Rs.50,000/month incremental FC.</t>
  </si>
  <si>
    <t>WHEN TO OVERRIDE THE FINANCIAL DECISION</t>
  </si>
  <si>
    <t xml:space="preserve">    Buy even if Make is cheaper: non-core component, vendor quality superior, volume expected to decline, annual saving below management effort threshold.</t>
  </si>
  <si>
    <t xml:space="preserve">    Make even if Buy is cheaper: high IP risk, single-vendor supply chain dependency, critical lead time flexibility, or core competitive component.</t>
  </si>
  <si>
    <t>COMPANION TEMPLATES — camsroy.com</t>
  </si>
  <si>
    <t xml:space="preserve">    Break-Even Analysis: same product input structure — confirm viability of Making at planned volumes.</t>
  </si>
  <si>
    <t xml:space="preserve">    Product Pricing Calculator: if you Make, set the correct transfer or selling price.</t>
  </si>
  <si>
    <t xml:space="preserve">    Vendor Financial Due Diligence: if you Buy, assess the financial health of your vendor.</t>
  </si>
  <si>
    <t>Copyright 2025 camsroy.com  |  Free for personal and commercial use  |  www.camsroy.com</t>
  </si>
  <si>
    <t>Note: Enter only the additional fixed costs that would arise if the product or service is made internally. Include avoidable or incremental costs such as additional equipment, supervision, setup, maintenance or dedicated resources. Do not include existing allocated fixed costs that will continue regardless of the Make or Buy decision.</t>
  </si>
  <si>
    <t>Note: Existing allocated fixed cost is shown for information and comparison purposes. It is not automatically included in the Make or Buy decision because allocated costs may continue even if production is outsourced. Include such costs only when they are genuinely avoidable or incremental under the decision being evaluated.</t>
  </si>
  <si>
    <t>Note: Enter the vendor purchase price on a consistent basis with the Make costs. The template is designed to compare costs on an ex-GST basis. If GST is non-recoverable for the business, include the applicable non-recoverable tax component consistently in the relevant cost inputs.</t>
  </si>
  <si>
    <t>Note: Crossover volume is the approximate production or purchase volume at which the estimated total cost of Make equals the estimated total cost of Buy. Below this volume, Buy may be more economical because the incremental fixed cost of Make is spread over fewer units. Above this volume, Make may become more attractive. The result is meaningful only when the vendor price is higher than the Make variable cost.</t>
  </si>
  <si>
    <t>Note: The safety margin indicates how far expected volume is above or below the crossover volume. A small margin means that the Make decision may be sensitive to changes in demand, production volume, variable costs or vendor pricing. Review the sensitivity analysis before relying on a Make decision with limited volume protection.</t>
  </si>
  <si>
    <r>
      <rPr>
        <b/>
        <i/>
        <sz val="9"/>
        <color theme="1" tint="0.499984740745262"/>
        <rFont val="Times New Roman"/>
        <family val="1"/>
      </rPr>
      <t>Cost Difference Interpretation</t>
    </r>
    <r>
      <rPr>
        <i/>
        <sz val="9"/>
        <color theme="1" tint="0.499984740745262"/>
        <rFont val="Times New Roman"/>
        <family val="1"/>
      </rPr>
      <t>: Monthly Cost Difference is calculated as Make Total Cost minus Buy Total Cost. A negative value indicates that Make is cheaper under the entered assumptions, while a positive value indicates that Buy is cheaper. A zero value indicates that both options have the same estimated cost.</t>
    </r>
  </si>
  <si>
    <r>
      <rPr>
        <b/>
        <i/>
        <sz val="9"/>
        <color theme="1" tint="0.499984740745262"/>
        <rFont val="Times New Roman"/>
        <family val="1"/>
      </rPr>
      <t>Qualitative Assessment Note</t>
    </r>
    <r>
      <rPr>
        <i/>
        <sz val="9"/>
        <color theme="1" tint="0.499984740745262"/>
        <rFont val="Times New Roman"/>
        <family val="1"/>
      </rPr>
      <t>: The qualitative score reflects the relative importance and rating of selected operational and strategic factors. It is intended to support management judgement and should be reviewed alongside the financial cost comparison. A higher score does not necessarily mean that Make is financially cheaper, and a lower score does not necessarily mean that Buy is always the best decision.</t>
    </r>
  </si>
  <si>
    <r>
      <t>Decision Review Note:</t>
    </r>
    <r>
      <rPr>
        <i/>
        <sz val="9"/>
        <color theme="1" tint="0.499984740745262"/>
        <rFont val="Times New Roman"/>
        <family val="1"/>
      </rPr>
      <t xml:space="preserve"> The financial comparison identifies the lower-cost option based on the assumptions entered. The final business decision should also consider capacity availability, quality requirements, supplier reliability, delivery timelines, confidentiality, strategic importance, implementation costs and other operational factors. The qualitative scorecard is provided as a separate decision-support tool and does not automatically override the financial comparison</t>
    </r>
  </si>
  <si>
    <t>ii) GST rates are provided for general reference only and are not automatically applied in the Make or Buy calculations. Enter Make and Buy costs consistently, preferably on an ex-GST basis where GST is recoverable. If GST is non-recoverable, include it consistently in the relevant cost assumptions.</t>
  </si>
  <si>
    <t>iii.Non-Cash Depreciation in Make Fixed Cost field is provided for reference when evaluating after-tax cash savings. It does not automatically change the main Make or Buy cost comparison. Depreciation and other non-cash costs may require separate consideration when preparing a cash-flow or tax-adjusted analysis.</t>
  </si>
  <si>
    <r>
      <t>Note:</t>
    </r>
    <r>
      <rPr>
        <i/>
        <sz val="9"/>
        <color theme="1" tint="0.499984740745262"/>
        <rFont val="Times New Roman"/>
        <family val="1"/>
      </rPr>
      <t xml:space="preserve"> Sensitivity analysis shows how the Make or Buy result changes when the assumed volume changes. It does not predict actual future demand. Use the scenarios to assess the stability of the decision and identify volumes at which the preferred option may change.</t>
    </r>
  </si>
  <si>
    <r>
      <t>Important:</t>
    </r>
    <r>
      <rPr>
        <i/>
        <sz val="9"/>
        <color theme="1" tint="0.499984740745262"/>
        <rFont val="Times New Roman"/>
        <family val="1"/>
      </rPr>
      <t xml:space="preserve"> The consolidated result summarises the financial comparison across the products or scenarios entered. It should not be treated as an automatic approval to Make or Buy. Review product-level assumptions, capacity constraints, supplier terms, quality requirements, strategic considerations and the qualitative scorecard before implementing the decision.</t>
    </r>
  </si>
  <si>
    <r>
      <t>Note:</t>
    </r>
    <r>
      <rPr>
        <sz val="9"/>
        <color theme="1" tint="0.499984740745262"/>
        <rFont val="Times New Roman"/>
        <family val="1"/>
      </rPr>
      <t xml:space="preserve"> The after-tax amount is an illustrative estimate based on the tax rate entered in the Setup sheet. It assumes that the annual cost advantage represents taxable operating savings. Actual tax treatment may differ depending on depreciation, non-cash costs, tax rules, accounting treatment and the specific circumstances of the business.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</si>
</sst>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charset val="1"/>
    </font>
    <font>
      <b/>
      <sz val="12"/>
      <color rgb="FFFFFFFF"/>
      <name val="Times New Roman"/>
      <family val="1"/>
    </font>
    <font>
      <sz val="11"/>
      <color theme="1"/>
      <name val="Times New Roman"/>
      <family val="1"/>
    </font>
    <font>
      <i/>
      <sz val="9"/>
      <color rgb="FF555555"/>
      <name val="Times New Roman"/>
      <family val="1"/>
    </font>
    <font>
      <b/>
      <sz val="10"/>
      <color rgb="FFFFFFFF"/>
      <name val="Times New Roman"/>
      <family val="1"/>
    </font>
    <font>
      <b/>
      <sz val="9"/>
      <color rgb="FFFFFFFF"/>
      <name val="Times New Roman"/>
      <family val="1"/>
    </font>
    <font>
      <sz val="9"/>
      <color rgb="FF000000"/>
      <name val="Times New Roman"/>
      <family val="1"/>
    </font>
    <font>
      <b/>
      <sz val="9"/>
      <color rgb="FF0000FF"/>
      <name val="Times New Roman"/>
      <family val="1"/>
    </font>
    <font>
      <b/>
      <sz val="9"/>
      <color rgb="FF117A65"/>
      <name val="Times New Roman"/>
      <family val="1"/>
    </font>
    <font>
      <b/>
      <sz val="9"/>
      <color rgb="FF0D1B2A"/>
      <name val="Times New Roman"/>
      <family val="1"/>
    </font>
    <font>
      <i/>
      <sz val="9"/>
      <color theme="1" tint="0.499984740745262"/>
      <name val="Times New Roman"/>
      <family val="1"/>
    </font>
    <font>
      <b/>
      <i/>
      <sz val="9"/>
      <color theme="1" tint="0.499984740745262"/>
      <name val="Times New Roman"/>
      <family val="1"/>
    </font>
    <font>
      <sz val="9"/>
      <color rgb="FF0000FF"/>
      <name val="Times New Roman"/>
      <family val="1"/>
    </font>
    <font>
      <i/>
      <sz val="8"/>
      <color rgb="FF555555"/>
      <name val="Times New Roman"/>
      <family val="1"/>
    </font>
    <font>
      <b/>
      <sz val="11"/>
      <color rgb="FFFFFFFF"/>
      <name val="Times New Roman"/>
      <family val="1"/>
    </font>
    <font>
      <sz val="9"/>
      <color theme="1"/>
      <name val="Times New Roman"/>
      <family val="1"/>
    </font>
    <font>
      <sz val="9"/>
      <name val="Times New Roman"/>
      <family val="1"/>
    </font>
    <font>
      <b/>
      <i/>
      <sz val="14"/>
      <color theme="2"/>
      <name val="Times New Roman"/>
      <family val="1"/>
    </font>
    <font>
      <b/>
      <sz val="9"/>
      <color theme="1" tint="0.499984740745262"/>
      <name val="Times New Roman"/>
      <family val="1"/>
    </font>
    <font>
      <sz val="9"/>
      <color theme="1" tint="0.499984740745262"/>
      <name val="Times New Roman"/>
      <family val="1"/>
    </font>
    <font>
      <b/>
      <sz val="14"/>
      <color rgb="FFFFFFFF"/>
      <name val="Times New Roman"/>
      <family val="1"/>
    </font>
    <font>
      <b/>
      <sz val="9"/>
      <color rgb="FF000000"/>
      <name val="Times New Roman"/>
      <family val="1"/>
    </font>
    <font>
      <b/>
      <sz val="22"/>
      <color rgb="FFFFFFFF"/>
      <name val="Times New Roman"/>
      <family val="1"/>
    </font>
    <font>
      <i/>
      <sz val="9"/>
      <color rgb="FFF3E5F5"/>
      <name val="Times New Roman"/>
      <family val="1"/>
    </font>
    <font>
      <b/>
      <sz val="18"/>
      <color rgb="FFFFFFFF"/>
      <name val="Times New Roman"/>
      <family val="1"/>
    </font>
    <font>
      <b/>
      <sz val="12"/>
      <color rgb="FFAED6F1"/>
      <name val="Times New Roman"/>
      <family val="1"/>
    </font>
    <font>
      <i/>
      <sz val="10"/>
      <color rgb="FFD7BDE2"/>
      <name val="Times New Roman"/>
      <family val="1"/>
    </font>
    <font>
      <sz val="10"/>
      <color rgb="FFAED6F1"/>
      <name val="Times New Roman"/>
      <family val="1"/>
    </font>
    <font>
      <b/>
      <sz val="11"/>
      <color rgb="FFAED6F1"/>
      <name val="Times New Roman"/>
      <family val="1"/>
    </font>
    <font>
      <sz val="11"/>
      <color rgb="FFD4AC0D"/>
      <name val="Times New Roman"/>
      <family val="1"/>
    </font>
    <font>
      <sz val="9"/>
      <color rgb="FFBDC3C7"/>
      <name val="Times New Roman"/>
      <family val="1"/>
    </font>
    <font>
      <b/>
      <sz val="10"/>
      <color rgb="FFAED6F1"/>
      <name val="Times New Roman"/>
      <family val="1"/>
    </font>
    <font>
      <b/>
      <sz val="10"/>
      <color rgb="FFD4AC0D"/>
      <name val="Times New Roman"/>
      <family val="1"/>
    </font>
    <font>
      <b/>
      <sz val="9"/>
      <color rgb="FFD4AC0D"/>
      <name val="Times New Roman"/>
      <family val="1"/>
    </font>
    <font>
      <sz val="8"/>
      <color rgb="FF7F8C8D"/>
      <name val="Times New Roman"/>
      <family val="1"/>
    </font>
  </fonts>
  <fills count="19">
    <fill>
      <patternFill patternType="none"/>
    </fill>
    <fill>
      <patternFill patternType="gray125"/>
    </fill>
    <fill>
      <patternFill patternType="solid">
        <fgColor rgb="FF0D1B2A"/>
        <bgColor rgb="FF000000"/>
      </patternFill>
    </fill>
    <fill>
      <patternFill patternType="solid">
        <fgColor rgb="FF6C3483"/>
        <bgColor rgb="FF993366"/>
      </patternFill>
    </fill>
    <fill>
      <patternFill patternType="solid">
        <fgColor rgb="FFD6EAF8"/>
        <bgColor rgb="FFD5F5E3"/>
      </patternFill>
    </fill>
    <fill>
      <patternFill patternType="solid">
        <fgColor rgb="FFD5F5E3"/>
        <bgColor rgb="FFD6EAF8"/>
      </patternFill>
    </fill>
    <fill>
      <patternFill patternType="solid">
        <fgColor rgb="FFD4AC0D"/>
        <bgColor rgb="FFFFCC00"/>
      </patternFill>
    </fill>
    <fill>
      <patternFill patternType="solid">
        <fgColor rgb="FFFDEDEC"/>
        <bgColor rgb="FFF2F3F4"/>
      </patternFill>
    </fill>
    <fill>
      <patternFill patternType="solid">
        <fgColor rgb="FFF2F3F4"/>
        <bgColor rgb="FFFDEDEC"/>
      </patternFill>
    </fill>
    <fill>
      <patternFill patternType="solid">
        <fgColor rgb="FF1B4F72"/>
        <bgColor rgb="FF333399"/>
      </patternFill>
    </fill>
    <fill>
      <patternFill patternType="solid">
        <fgColor rgb="FFA04000"/>
        <bgColor rgb="FF993366"/>
      </patternFill>
    </fill>
    <fill>
      <patternFill patternType="solid">
        <fgColor rgb="FFFCF3CF"/>
        <bgColor rgb="FFFDEDEC"/>
      </patternFill>
    </fill>
    <fill>
      <patternFill patternType="solid">
        <fgColor theme="0"/>
        <bgColor indexed="64"/>
      </patternFill>
    </fill>
    <fill>
      <patternFill patternType="solid">
        <fgColor rgb="FFFFFFFF"/>
        <bgColor indexed="64"/>
      </patternFill>
    </fill>
    <fill>
      <patternFill patternType="solid">
        <fgColor rgb="FFFFFFFF"/>
        <bgColor rgb="FF993366"/>
      </patternFill>
    </fill>
    <fill>
      <patternFill patternType="solid">
        <fgColor rgb="FFFFFFFF"/>
        <bgColor rgb="FFFDEDEC"/>
      </patternFill>
    </fill>
    <fill>
      <patternFill patternType="solid">
        <fgColor theme="5" tint="-0.499984740745262"/>
        <bgColor rgb="FFFFCC00"/>
      </patternFill>
    </fill>
    <fill>
      <patternFill patternType="solid">
        <fgColor theme="0"/>
        <bgColor rgb="FFFDEDEC"/>
      </patternFill>
    </fill>
    <fill>
      <patternFill patternType="solid">
        <fgColor theme="0"/>
        <bgColor rgb="FFD6EAF8"/>
      </patternFill>
    </fill>
  </fills>
  <borders count="7">
    <border>
      <left/>
      <right/>
      <top/>
      <bottom/>
      <diagonal/>
    </border>
    <border>
      <left/>
      <right/>
      <top/>
      <bottom style="thin">
        <color rgb="FF2E86C1"/>
      </bottom>
      <diagonal/>
    </border>
    <border>
      <left style="thin">
        <color rgb="FFBDBDBD"/>
      </left>
      <right style="thin">
        <color rgb="FFBDBDBD"/>
      </right>
      <top style="thin">
        <color rgb="FFBDBDBD"/>
      </top>
      <bottom style="thin">
        <color rgb="FFBDBDBD"/>
      </bottom>
      <diagonal/>
    </border>
    <border>
      <left style="thin">
        <color rgb="FFBDBDBD"/>
      </left>
      <right/>
      <top style="thin">
        <color rgb="FFBDBDBD"/>
      </top>
      <bottom style="thin">
        <color rgb="FFBDBDBD"/>
      </bottom>
      <diagonal/>
    </border>
    <border>
      <left/>
      <right/>
      <top style="thin">
        <color rgb="FFBDBDBD"/>
      </top>
      <bottom/>
      <diagonal/>
    </border>
    <border>
      <left style="thin">
        <color rgb="FFBDBDBD"/>
      </left>
      <right style="thin">
        <color rgb="FFBDBDBD"/>
      </right>
      <top/>
      <bottom/>
      <diagonal/>
    </border>
    <border>
      <left/>
      <right/>
      <top/>
      <bottom style="thin">
        <color rgb="FFBDBDBD"/>
      </bottom>
      <diagonal/>
    </border>
  </borders>
  <cellStyleXfs count="1">
    <xf numFmtId="0" fontId="0" fillId="0" borderId="0"/>
  </cellStyleXfs>
  <cellXfs count="96">
    <xf numFmtId="0" fontId="0" fillId="0" borderId="0" xfId="0"/>
    <xf numFmtId="0" fontId="1" fillId="2" borderId="0" xfId="0" applyFont="1" applyFill="1" applyAlignment="1">
      <alignment horizontal="left" vertical="center" wrapText="1" indent="1"/>
    </xf>
    <xf numFmtId="0" fontId="2" fillId="0" borderId="0" xfId="0" applyFont="1"/>
    <xf numFmtId="0" fontId="3" fillId="8" borderId="0" xfId="0" applyFont="1" applyFill="1" applyAlignment="1">
      <alignment horizontal="left" vertical="center" wrapText="1" indent="1"/>
    </xf>
    <xf numFmtId="0" fontId="4" fillId="9" borderId="0" xfId="0" applyFont="1" applyFill="1" applyAlignment="1">
      <alignment horizontal="left" vertical="center" wrapText="1" indent="1"/>
    </xf>
    <xf numFmtId="0" fontId="5" fillId="2" borderId="2" xfId="0" applyFont="1" applyFill="1" applyBorder="1" applyAlignment="1">
      <alignment horizontal="center" vertical="center" wrapText="1"/>
    </xf>
    <xf numFmtId="0" fontId="5" fillId="9" borderId="0" xfId="0" applyFont="1" applyFill="1" applyAlignment="1">
      <alignment horizontal="left" vertical="center" wrapText="1" indent="2"/>
    </xf>
    <xf numFmtId="0" fontId="6" fillId="8" borderId="2" xfId="0" applyFont="1" applyFill="1" applyBorder="1" applyAlignment="1">
      <alignment horizontal="left" vertical="center" wrapText="1" indent="2"/>
    </xf>
    <xf numFmtId="3" fontId="7" fillId="4" borderId="2" xfId="0" applyNumberFormat="1" applyFont="1" applyFill="1" applyBorder="1" applyAlignment="1">
      <alignment horizontal="right" vertical="center"/>
    </xf>
    <xf numFmtId="0" fontId="6" fillId="8" borderId="2" xfId="0" applyFont="1" applyFill="1" applyBorder="1" applyAlignment="1">
      <alignment horizontal="left" vertical="center" wrapText="1" indent="1"/>
    </xf>
    <xf numFmtId="4" fontId="8" fillId="5" borderId="2" xfId="0" applyNumberFormat="1" applyFont="1" applyFill="1" applyBorder="1" applyAlignment="1">
      <alignment horizontal="right" vertical="center"/>
    </xf>
    <xf numFmtId="4" fontId="6" fillId="8" borderId="2" xfId="0" applyNumberFormat="1" applyFont="1" applyFill="1" applyBorder="1" applyAlignment="1">
      <alignment horizontal="right" vertical="center"/>
    </xf>
    <xf numFmtId="0" fontId="9" fillId="6" borderId="2" xfId="0" applyFont="1" applyFill="1" applyBorder="1" applyAlignment="1">
      <alignment horizontal="left" vertical="center" wrapText="1" indent="2"/>
    </xf>
    <xf numFmtId="3" fontId="9" fillId="6" borderId="2" xfId="0" applyNumberFormat="1" applyFont="1" applyFill="1" applyBorder="1" applyAlignment="1">
      <alignment horizontal="right" vertical="center"/>
    </xf>
    <xf numFmtId="3" fontId="6" fillId="8" borderId="2" xfId="0" applyNumberFormat="1" applyFont="1" applyFill="1" applyBorder="1" applyAlignment="1">
      <alignment horizontal="right" vertical="center"/>
    </xf>
    <xf numFmtId="0" fontId="9" fillId="6" borderId="2" xfId="0" applyFont="1" applyFill="1" applyBorder="1" applyAlignment="1">
      <alignment horizontal="left" vertical="center" wrapText="1" indent="1"/>
    </xf>
    <xf numFmtId="3" fontId="8" fillId="5" borderId="2" xfId="0" applyNumberFormat="1" applyFont="1" applyFill="1" applyBorder="1" applyAlignment="1">
      <alignment horizontal="right" vertical="center"/>
    </xf>
    <xf numFmtId="0" fontId="9" fillId="0" borderId="0" xfId="0" applyFont="1" applyFill="1" applyBorder="1" applyAlignment="1">
      <alignment horizontal="left" vertical="center" wrapText="1" indent="2"/>
    </xf>
    <xf numFmtId="3" fontId="9" fillId="0" borderId="0" xfId="0"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0" fontId="9" fillId="0" borderId="0" xfId="0" applyFont="1" applyFill="1" applyBorder="1" applyAlignment="1">
      <alignment horizontal="left" vertical="center" wrapText="1" indent="1"/>
    </xf>
    <xf numFmtId="3" fontId="8" fillId="0" borderId="0" xfId="0" applyNumberFormat="1" applyFont="1" applyFill="1" applyBorder="1" applyAlignment="1">
      <alignment horizontal="right" vertical="center"/>
    </xf>
    <xf numFmtId="0" fontId="2" fillId="0" borderId="0" xfId="0" applyFont="1" applyFill="1"/>
    <xf numFmtId="0" fontId="10" fillId="13" borderId="0" xfId="0" applyFont="1" applyFill="1" applyBorder="1" applyAlignment="1">
      <alignment horizontal="left" vertical="center" wrapText="1"/>
    </xf>
    <xf numFmtId="0" fontId="4" fillId="10" borderId="0" xfId="0" applyFont="1" applyFill="1" applyAlignment="1">
      <alignment horizontal="left" vertical="center" wrapText="1" indent="1"/>
    </xf>
    <xf numFmtId="0" fontId="4" fillId="10" borderId="0" xfId="0" applyFont="1" applyFill="1" applyAlignment="1">
      <alignment horizontal="left" vertical="center" wrapText="1" indent="1"/>
    </xf>
    <xf numFmtId="164" fontId="8" fillId="5" borderId="2" xfId="0" applyNumberFormat="1" applyFont="1" applyFill="1" applyBorder="1" applyAlignment="1">
      <alignment horizontal="right" vertical="center"/>
    </xf>
    <xf numFmtId="0" fontId="6" fillId="8" borderId="0" xfId="0" applyFont="1" applyFill="1" applyBorder="1" applyAlignment="1">
      <alignment horizontal="left" vertical="center" wrapText="1" indent="1"/>
    </xf>
    <xf numFmtId="3" fontId="8" fillId="5" borderId="0" xfId="0" applyNumberFormat="1" applyFont="1" applyFill="1" applyBorder="1" applyAlignment="1">
      <alignment horizontal="right" vertical="center"/>
    </xf>
    <xf numFmtId="0" fontId="10" fillId="15" borderId="0" xfId="0" applyFont="1" applyFill="1" applyBorder="1" applyAlignment="1">
      <alignment horizontal="left" vertical="center" wrapText="1"/>
    </xf>
    <xf numFmtId="0" fontId="4" fillId="3" borderId="0" xfId="0" applyFont="1" applyFill="1" applyAlignment="1">
      <alignment horizontal="left" vertical="center" wrapText="1" indent="1"/>
    </xf>
    <xf numFmtId="9" fontId="12" fillId="4" borderId="2" xfId="0" applyNumberFormat="1" applyFont="1" applyFill="1" applyBorder="1" applyAlignment="1">
      <alignment horizontal="right" vertical="center"/>
    </xf>
    <xf numFmtId="0" fontId="7" fillId="4" borderId="2" xfId="0" applyFont="1" applyFill="1" applyBorder="1" applyAlignment="1">
      <alignment horizontal="center" vertical="center" wrapText="1"/>
    </xf>
    <xf numFmtId="2" fontId="8" fillId="5" borderId="2" xfId="0" applyNumberFormat="1" applyFont="1" applyFill="1" applyBorder="1" applyAlignment="1">
      <alignment horizontal="right" vertical="center"/>
    </xf>
    <xf numFmtId="0" fontId="2" fillId="8" borderId="2" xfId="0" applyFont="1" applyFill="1" applyBorder="1"/>
    <xf numFmtId="0" fontId="13" fillId="8" borderId="2"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9" fontId="5" fillId="3" borderId="2" xfId="0" applyNumberFormat="1" applyFont="1" applyFill="1" applyBorder="1" applyAlignment="1">
      <alignment horizontal="right" vertical="center"/>
    </xf>
    <xf numFmtId="0" fontId="2" fillId="3" borderId="2" xfId="0" applyFont="1" applyFill="1" applyBorder="1"/>
    <xf numFmtId="2" fontId="14" fillId="3" borderId="2" xfId="0" applyNumberFormat="1" applyFont="1" applyFill="1" applyBorder="1" applyAlignment="1">
      <alignment horizontal="right" vertical="center"/>
    </xf>
    <xf numFmtId="0" fontId="5" fillId="3" borderId="2" xfId="0" applyFont="1" applyFill="1" applyBorder="1" applyAlignment="1">
      <alignment horizontal="left" vertical="center" wrapText="1" indent="1"/>
    </xf>
    <xf numFmtId="0" fontId="10" fillId="14" borderId="4" xfId="0" applyFont="1" applyFill="1" applyBorder="1" applyAlignment="1">
      <alignment horizontal="left" vertical="center" wrapText="1"/>
    </xf>
    <xf numFmtId="0" fontId="2" fillId="12" borderId="0" xfId="0" applyFont="1" applyFill="1"/>
    <xf numFmtId="0" fontId="4" fillId="2" borderId="0" xfId="0" applyFont="1" applyFill="1" applyAlignment="1">
      <alignment horizontal="left" vertical="center" wrapText="1" indent="1"/>
    </xf>
    <xf numFmtId="0" fontId="13" fillId="11" borderId="2" xfId="0" applyFont="1" applyFill="1" applyBorder="1" applyAlignment="1">
      <alignment horizontal="left" vertical="center" wrapText="1" indent="1"/>
    </xf>
    <xf numFmtId="0" fontId="2" fillId="8" borderId="0" xfId="0" applyFont="1" applyFill="1" applyBorder="1"/>
    <xf numFmtId="0" fontId="11" fillId="13" borderId="0" xfId="0" applyFont="1" applyFill="1" applyAlignment="1">
      <alignment horizontal="left" vertical="center" wrapText="1"/>
    </xf>
    <xf numFmtId="0" fontId="6" fillId="8" borderId="0" xfId="0" applyFont="1" applyFill="1" applyAlignment="1">
      <alignment horizontal="left" vertical="center" wrapText="1" indent="2"/>
    </xf>
    <xf numFmtId="0" fontId="15" fillId="0" borderId="0" xfId="0" applyFont="1"/>
    <xf numFmtId="0" fontId="16" fillId="0" borderId="0" xfId="0" applyFont="1"/>
    <xf numFmtId="0" fontId="9" fillId="8" borderId="0" xfId="0" applyFont="1" applyFill="1" applyAlignment="1">
      <alignment horizontal="left" vertical="center" wrapText="1" indent="1"/>
    </xf>
    <xf numFmtId="0" fontId="5" fillId="9" borderId="0" xfId="0" applyFont="1" applyFill="1" applyAlignment="1">
      <alignment horizontal="left" vertical="center" wrapText="1" indent="1"/>
    </xf>
    <xf numFmtId="0" fontId="3" fillId="8" borderId="0" xfId="0" applyFont="1" applyFill="1" applyAlignment="1">
      <alignment horizontal="center" vertical="center" wrapText="1"/>
    </xf>
    <xf numFmtId="0" fontId="6" fillId="8"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13" fillId="8" borderId="0" xfId="0" applyFont="1" applyFill="1" applyAlignment="1">
      <alignment horizontal="left" vertical="center" wrapText="1" indent="1"/>
    </xf>
    <xf numFmtId="0" fontId="17" fillId="16" borderId="3" xfId="0" applyFont="1" applyFill="1" applyBorder="1" applyAlignment="1">
      <alignment horizontal="left" vertical="center" wrapText="1" indent="1"/>
    </xf>
    <xf numFmtId="0" fontId="18" fillId="13" borderId="0" xfId="0" applyFont="1" applyFill="1" applyAlignment="1">
      <alignment horizontal="left" vertical="center" wrapText="1"/>
    </xf>
    <xf numFmtId="0" fontId="10" fillId="13" borderId="0" xfId="0" applyFont="1" applyFill="1" applyAlignment="1">
      <alignment horizontal="left" vertical="center" wrapText="1"/>
    </xf>
    <xf numFmtId="0" fontId="20" fillId="2" borderId="0" xfId="0" applyFont="1" applyFill="1" applyAlignment="1">
      <alignment horizontal="left" vertical="center" wrapText="1" indent="1"/>
    </xf>
    <xf numFmtId="0" fontId="4" fillId="9" borderId="6" xfId="0" applyFont="1" applyFill="1" applyBorder="1" applyAlignment="1">
      <alignment horizontal="left" vertical="center" wrapText="1"/>
    </xf>
    <xf numFmtId="0" fontId="10" fillId="13" borderId="0" xfId="0" applyFont="1" applyFill="1" applyBorder="1" applyAlignment="1">
      <alignment horizontal="center" vertical="center" wrapText="1"/>
    </xf>
    <xf numFmtId="0" fontId="6" fillId="17" borderId="0" xfId="0" applyFont="1" applyFill="1" applyBorder="1" applyAlignment="1">
      <alignment horizontal="left" vertical="center" wrapText="1" indent="1"/>
    </xf>
    <xf numFmtId="3" fontId="6" fillId="17" borderId="0" xfId="0" applyNumberFormat="1" applyFont="1" applyFill="1" applyBorder="1" applyAlignment="1">
      <alignment horizontal="right" vertical="center"/>
    </xf>
    <xf numFmtId="3" fontId="8" fillId="18" borderId="0" xfId="0" applyNumberFormat="1" applyFont="1" applyFill="1" applyBorder="1" applyAlignment="1">
      <alignment horizontal="right" vertical="center"/>
    </xf>
    <xf numFmtId="164" fontId="8" fillId="18" borderId="0" xfId="0" applyNumberFormat="1" applyFont="1" applyFill="1" applyBorder="1" applyAlignment="1">
      <alignment horizontal="right" vertical="center"/>
    </xf>
    <xf numFmtId="0" fontId="20" fillId="2" borderId="0" xfId="0" applyFont="1" applyFill="1" applyAlignment="1">
      <alignment horizontal="left" vertical="center" wrapText="1"/>
    </xf>
    <xf numFmtId="0" fontId="12" fillId="4" borderId="2" xfId="0" applyFont="1" applyFill="1" applyBorder="1" applyAlignment="1">
      <alignment horizontal="left" vertical="center" wrapText="1" indent="1"/>
    </xf>
    <xf numFmtId="3" fontId="12" fillId="4" borderId="2" xfId="0" applyNumberFormat="1" applyFont="1" applyFill="1" applyBorder="1" applyAlignment="1">
      <alignment horizontal="right" vertical="center"/>
    </xf>
    <xf numFmtId="3" fontId="5" fillId="3" borderId="2" xfId="0" applyNumberFormat="1" applyFont="1" applyFill="1" applyBorder="1" applyAlignment="1">
      <alignment horizontal="right" vertical="center"/>
    </xf>
    <xf numFmtId="164" fontId="5" fillId="3" borderId="2" xfId="0" applyNumberFormat="1" applyFont="1" applyFill="1" applyBorder="1" applyAlignment="1">
      <alignment horizontal="right" vertical="center"/>
    </xf>
    <xf numFmtId="10" fontId="7" fillId="4" borderId="2" xfId="0" applyNumberFormat="1" applyFont="1" applyFill="1" applyBorder="1" applyAlignment="1">
      <alignment horizontal="right" vertical="center"/>
    </xf>
    <xf numFmtId="164" fontId="7" fillId="4" borderId="2" xfId="0" applyNumberFormat="1" applyFont="1" applyFill="1" applyBorder="1" applyAlignment="1">
      <alignment horizontal="right" vertical="center"/>
    </xf>
    <xf numFmtId="9" fontId="7" fillId="4" borderId="2" xfId="0" applyNumberFormat="1" applyFont="1" applyFill="1" applyBorder="1" applyAlignment="1">
      <alignment horizontal="right" vertical="center"/>
    </xf>
    <xf numFmtId="0" fontId="21" fillId="8" borderId="5" xfId="0" applyFont="1" applyFill="1" applyBorder="1" applyAlignment="1">
      <alignment horizontal="left" vertical="center" wrapText="1" indent="1"/>
    </xf>
    <xf numFmtId="0" fontId="2" fillId="2" borderId="0" xfId="0" applyFont="1" applyFill="1"/>
    <xf numFmtId="0" fontId="22" fillId="2" borderId="0" xfId="0" applyFont="1" applyFill="1" applyAlignment="1">
      <alignment horizontal="left" vertical="center" wrapText="1"/>
    </xf>
    <xf numFmtId="0" fontId="2" fillId="3" borderId="0" xfId="0" applyFont="1" applyFill="1"/>
    <xf numFmtId="0" fontId="23" fillId="3" borderId="0" xfId="0" applyFont="1" applyFill="1" applyAlignment="1">
      <alignment horizontal="left" vertical="center" wrapText="1" indent="1"/>
    </xf>
    <xf numFmtId="0" fontId="24" fillId="2" borderId="0" xfId="0" applyFont="1" applyFill="1" applyAlignment="1">
      <alignment horizontal="left" vertical="center" wrapText="1"/>
    </xf>
    <xf numFmtId="0" fontId="25" fillId="2" borderId="0" xfId="0" applyFont="1" applyFill="1" applyAlignment="1">
      <alignment horizontal="left" vertical="center" wrapText="1"/>
    </xf>
    <xf numFmtId="0" fontId="26" fillId="2" borderId="0" xfId="0" applyFont="1" applyFill="1" applyAlignment="1">
      <alignment horizontal="left" vertical="center" wrapText="1"/>
    </xf>
    <xf numFmtId="0" fontId="27" fillId="2" borderId="0" xfId="0" applyFont="1" applyFill="1" applyAlignment="1">
      <alignment horizontal="left" vertical="center" wrapText="1" indent="1"/>
    </xf>
    <xf numFmtId="0" fontId="4" fillId="2" borderId="1" xfId="0" applyFont="1" applyFill="1" applyBorder="1" applyAlignment="1">
      <alignment horizontal="left" vertical="center" wrapText="1" indent="1"/>
    </xf>
    <xf numFmtId="0" fontId="28" fillId="2" borderId="0" xfId="0" applyFont="1" applyFill="1" applyAlignment="1">
      <alignment horizontal="left" vertical="center" wrapText="1"/>
    </xf>
    <xf numFmtId="0" fontId="29" fillId="2" borderId="0" xfId="0" applyFont="1" applyFill="1" applyAlignment="1">
      <alignment horizontal="center" vertical="center" wrapText="1"/>
    </xf>
    <xf numFmtId="0" fontId="30" fillId="2" borderId="0" xfId="0" applyFont="1" applyFill="1" applyAlignment="1">
      <alignment horizontal="left" vertical="center" wrapText="1" indent="1"/>
    </xf>
    <xf numFmtId="0" fontId="31" fillId="2" borderId="0" xfId="0" applyFont="1" applyFill="1" applyAlignment="1">
      <alignment horizontal="left" vertical="center" wrapText="1"/>
    </xf>
    <xf numFmtId="0" fontId="2" fillId="4" borderId="0" xfId="0" applyFont="1" applyFill="1"/>
    <xf numFmtId="0" fontId="30" fillId="2" borderId="0" xfId="0" applyFont="1" applyFill="1" applyAlignment="1">
      <alignment horizontal="left" vertical="center" wrapText="1" indent="1"/>
    </xf>
    <xf numFmtId="0" fontId="2" fillId="5" borderId="0" xfId="0" applyFont="1" applyFill="1"/>
    <xf numFmtId="0" fontId="2" fillId="6" borderId="0" xfId="0" applyFont="1" applyFill="1"/>
    <xf numFmtId="0" fontId="2" fillId="7" borderId="0" xfId="0" applyFont="1" applyFill="1"/>
    <xf numFmtId="0" fontId="32" fillId="2" borderId="0" xfId="0" applyFont="1" applyFill="1" applyAlignment="1">
      <alignment horizontal="left" vertical="center" wrapText="1"/>
    </xf>
    <xf numFmtId="0" fontId="33" fillId="2" borderId="0" xfId="0" applyFont="1" applyFill="1" applyAlignment="1">
      <alignment horizontal="center" vertical="center" wrapText="1"/>
    </xf>
    <xf numFmtId="0" fontId="34"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17A65"/>
      <rgbColor rgb="FFBDBDBD"/>
      <rgbColor rgb="FF7F8C8D"/>
      <rgbColor rgb="FF9999FF"/>
      <rgbColor rgb="FF6C3483"/>
      <rgbColor rgb="FFFCF3CF"/>
      <rgbColor rgb="FFD6EAF8"/>
      <rgbColor rgb="FF660066"/>
      <rgbColor rgb="FFFF8080"/>
      <rgbColor rgb="FF0066CC"/>
      <rgbColor rgb="FFD7BDE2"/>
      <rgbColor rgb="FF000080"/>
      <rgbColor rgb="FFFF00FF"/>
      <rgbColor rgb="FFFFFF00"/>
      <rgbColor rgb="FF00FFFF"/>
      <rgbColor rgb="FF800080"/>
      <rgbColor rgb="FF800000"/>
      <rgbColor rgb="FF008080"/>
      <rgbColor rgb="FF0000FF"/>
      <rgbColor rgb="FF00CCFF"/>
      <rgbColor rgb="FFF2F3F4"/>
      <rgbColor rgb="FFD5F5E3"/>
      <rgbColor rgb="FFFDEDEC"/>
      <rgbColor rgb="FFAED6F1"/>
      <rgbColor rgb="FFFF99CC"/>
      <rgbColor rgb="FFBDC3C7"/>
      <rgbColor rgb="FFF3E5F5"/>
      <rgbColor rgb="FF2E86C1"/>
      <rgbColor rgb="FF33CCCC"/>
      <rgbColor rgb="FF99CC00"/>
      <rgbColor rgb="FFFFCC00"/>
      <rgbColor rgb="FFD4AC0D"/>
      <rgbColor rgb="FFFF6600"/>
      <rgbColor rgb="FF555555"/>
      <rgbColor rgb="FF969696"/>
      <rgbColor rgb="FF1B4F72"/>
      <rgbColor rgb="FF339966"/>
      <rgbColor rgb="FF0D1B2A"/>
      <rgbColor rgb="FF333300"/>
      <rgbColor rgb="FFA04000"/>
      <rgbColor rgb="FF993366"/>
      <rgbColor rgb="FF333399"/>
      <rgbColor rgb="FF333333"/>
      <rgbColor rgb="00003366"/>
      <rgbColor rgb="00339966"/>
      <rgbColor rgb="00003300"/>
      <rgbColor rgb="00333300"/>
      <rgbColor rgb="00993300"/>
      <rgbColor rgb="00993366"/>
      <rgbColor rgb="00333399"/>
      <rgbColor rgb="00333333"/>
    </indexedColors>
    <mruColors>
      <color rgb="FFFFFFFF"/>
      <color rgb="FFEAEAEA"/>
      <color rgb="FFDFE9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1B2A"/>
  </sheetPr>
  <dimension ref="A1:D59"/>
  <sheetViews>
    <sheetView tabSelected="1" zoomScaleNormal="100" workbookViewId="0">
      <selection activeCell="B11" sqref="B11:C11"/>
    </sheetView>
  </sheetViews>
  <sheetFormatPr defaultColWidth="8.7109375" defaultRowHeight="15" x14ac:dyDescent="0.25"/>
  <cols>
    <col min="1" max="1" width="3" style="2" customWidth="1"/>
    <col min="2" max="2" width="32" style="2" customWidth="1"/>
    <col min="3" max="3" width="53.28515625" style="2" customWidth="1"/>
    <col min="4" max="4" width="30.140625" style="2" customWidth="1"/>
    <col min="5" max="16384" width="8.7109375" style="2"/>
  </cols>
  <sheetData>
    <row r="1" spans="1:4" ht="18" customHeight="1" x14ac:dyDescent="0.25">
      <c r="A1" s="75"/>
      <c r="B1" s="75"/>
      <c r="C1" s="75"/>
      <c r="D1" s="75"/>
    </row>
    <row r="2" spans="1:4" ht="31.5" customHeight="1" x14ac:dyDescent="0.25">
      <c r="A2" s="75"/>
      <c r="B2" s="76" t="s">
        <v>0</v>
      </c>
      <c r="C2" s="76"/>
      <c r="D2" s="75"/>
    </row>
    <row r="3" spans="1:4" ht="27.75" customHeight="1" x14ac:dyDescent="0.25">
      <c r="A3" s="75"/>
      <c r="B3" s="76"/>
      <c r="C3" s="76"/>
      <c r="D3" s="75"/>
    </row>
    <row r="4" spans="1:4" ht="18" customHeight="1" x14ac:dyDescent="0.25">
      <c r="A4" s="77"/>
      <c r="B4" s="78" t="s">
        <v>1</v>
      </c>
      <c r="C4" s="78"/>
      <c r="D4" s="77"/>
    </row>
    <row r="5" spans="1:4" ht="18" customHeight="1" x14ac:dyDescent="0.25">
      <c r="A5" s="77"/>
      <c r="B5" s="78"/>
      <c r="C5" s="78"/>
      <c r="D5" s="77"/>
    </row>
    <row r="6" spans="1:4" ht="18" customHeight="1" x14ac:dyDescent="0.25">
      <c r="A6" s="75"/>
      <c r="B6" s="75"/>
      <c r="C6" s="75"/>
      <c r="D6" s="75"/>
    </row>
    <row r="7" spans="1:4" ht="7.5" customHeight="1" x14ac:dyDescent="0.25">
      <c r="A7" s="75"/>
      <c r="B7" s="75"/>
      <c r="C7" s="75"/>
      <c r="D7" s="75"/>
    </row>
    <row r="8" spans="1:4" ht="33.75" customHeight="1" x14ac:dyDescent="0.25">
      <c r="A8" s="75"/>
      <c r="B8" s="79" t="s">
        <v>2</v>
      </c>
      <c r="C8" s="79"/>
      <c r="D8" s="79"/>
    </row>
    <row r="9" spans="1:4" ht="27.75" customHeight="1" x14ac:dyDescent="0.25">
      <c r="A9" s="75"/>
      <c r="B9" s="79"/>
      <c r="C9" s="79"/>
      <c r="D9" s="79"/>
    </row>
    <row r="10" spans="1:4" ht="21.75" customHeight="1" x14ac:dyDescent="0.25">
      <c r="A10" s="75"/>
      <c r="B10" s="80" t="s">
        <v>3</v>
      </c>
      <c r="C10" s="80"/>
      <c r="D10" s="75"/>
    </row>
    <row r="11" spans="1:4" ht="18" customHeight="1" x14ac:dyDescent="0.25">
      <c r="A11" s="75"/>
      <c r="B11" s="81" t="s">
        <v>4</v>
      </c>
      <c r="C11" s="81"/>
      <c r="D11" s="75"/>
    </row>
    <row r="12" spans="1:4" ht="18" customHeight="1" x14ac:dyDescent="0.25">
      <c r="A12" s="75"/>
      <c r="B12" s="75"/>
      <c r="C12" s="75"/>
      <c r="D12" s="75"/>
    </row>
    <row r="13" spans="1:4" ht="3" customHeight="1" x14ac:dyDescent="0.25">
      <c r="A13" s="75"/>
      <c r="B13" s="77"/>
      <c r="C13" s="77"/>
      <c r="D13" s="77"/>
    </row>
    <row r="14" spans="1:4" ht="18" customHeight="1" x14ac:dyDescent="0.25">
      <c r="A14" s="75"/>
      <c r="B14" s="75"/>
      <c r="C14" s="75"/>
      <c r="D14" s="75"/>
    </row>
    <row r="15" spans="1:4" ht="19.5" customHeight="1" x14ac:dyDescent="0.25">
      <c r="A15" s="75"/>
      <c r="B15" s="82" t="s">
        <v>5</v>
      </c>
      <c r="C15" s="83" t="s">
        <v>6</v>
      </c>
      <c r="D15" s="75"/>
    </row>
    <row r="16" spans="1:4" ht="19.5" customHeight="1" x14ac:dyDescent="0.25">
      <c r="A16" s="75"/>
      <c r="B16" s="82" t="s">
        <v>7</v>
      </c>
      <c r="C16" s="83" t="s">
        <v>8</v>
      </c>
      <c r="D16" s="75"/>
    </row>
    <row r="17" spans="1:4" ht="19.5" customHeight="1" x14ac:dyDescent="0.25">
      <c r="A17" s="75"/>
      <c r="B17" s="82" t="s">
        <v>9</v>
      </c>
      <c r="C17" s="83" t="s">
        <v>10</v>
      </c>
      <c r="D17" s="75"/>
    </row>
    <row r="18" spans="1:4" ht="19.5" customHeight="1" x14ac:dyDescent="0.25">
      <c r="A18" s="75"/>
      <c r="B18" s="82" t="s">
        <v>11</v>
      </c>
      <c r="C18" s="83" t="s">
        <v>12</v>
      </c>
      <c r="D18" s="75"/>
    </row>
    <row r="19" spans="1:4" ht="19.5" customHeight="1" x14ac:dyDescent="0.25">
      <c r="A19" s="75"/>
      <c r="B19" s="82" t="s">
        <v>13</v>
      </c>
      <c r="C19" s="83" t="s">
        <v>14</v>
      </c>
      <c r="D19" s="75"/>
    </row>
    <row r="20" spans="1:4" ht="18" customHeight="1" x14ac:dyDescent="0.25">
      <c r="A20" s="75"/>
      <c r="B20" s="75"/>
      <c r="C20" s="75"/>
      <c r="D20" s="75"/>
    </row>
    <row r="21" spans="1:4" ht="7.5" customHeight="1" x14ac:dyDescent="0.25">
      <c r="A21" s="75"/>
      <c r="B21" s="75"/>
      <c r="C21" s="75"/>
      <c r="D21" s="75"/>
    </row>
    <row r="22" spans="1:4" ht="21.75" customHeight="1" x14ac:dyDescent="0.25">
      <c r="A22" s="75"/>
      <c r="B22" s="84" t="s">
        <v>15</v>
      </c>
      <c r="C22" s="84"/>
      <c r="D22" s="75"/>
    </row>
    <row r="23" spans="1:4" ht="18.75" customHeight="1" x14ac:dyDescent="0.25">
      <c r="A23" s="75"/>
      <c r="B23" s="85" t="s">
        <v>16</v>
      </c>
      <c r="C23" s="86" t="s">
        <v>17</v>
      </c>
      <c r="D23" s="75"/>
    </row>
    <row r="24" spans="1:4" ht="18.75" customHeight="1" x14ac:dyDescent="0.25">
      <c r="A24" s="75"/>
      <c r="B24" s="85" t="s">
        <v>18</v>
      </c>
      <c r="C24" s="86" t="s">
        <v>19</v>
      </c>
      <c r="D24" s="75"/>
    </row>
    <row r="25" spans="1:4" ht="18.75" customHeight="1" x14ac:dyDescent="0.25">
      <c r="A25" s="75"/>
      <c r="B25" s="85" t="s">
        <v>20</v>
      </c>
      <c r="C25" s="86" t="s">
        <v>21</v>
      </c>
      <c r="D25" s="75"/>
    </row>
    <row r="26" spans="1:4" ht="18.75" customHeight="1" x14ac:dyDescent="0.25">
      <c r="A26" s="75"/>
      <c r="B26" s="85" t="s">
        <v>22</v>
      </c>
      <c r="C26" s="86" t="s">
        <v>23</v>
      </c>
      <c r="D26" s="75"/>
    </row>
    <row r="27" spans="1:4" ht="18.75" customHeight="1" x14ac:dyDescent="0.25">
      <c r="A27" s="75"/>
      <c r="B27" s="85" t="s">
        <v>24</v>
      </c>
      <c r="C27" s="86" t="s">
        <v>25</v>
      </c>
      <c r="D27" s="75"/>
    </row>
    <row r="28" spans="1:4" ht="18" customHeight="1" x14ac:dyDescent="0.25">
      <c r="A28" s="75"/>
      <c r="B28" s="75"/>
      <c r="C28" s="75"/>
      <c r="D28" s="75"/>
    </row>
    <row r="29" spans="1:4" ht="18" customHeight="1" x14ac:dyDescent="0.25">
      <c r="A29" s="75"/>
      <c r="B29" s="75"/>
      <c r="C29" s="75"/>
      <c r="D29" s="75"/>
    </row>
    <row r="30" spans="1:4" ht="7.5" customHeight="1" x14ac:dyDescent="0.25">
      <c r="A30" s="75"/>
      <c r="B30" s="75"/>
      <c r="C30" s="75"/>
      <c r="D30" s="75"/>
    </row>
    <row r="31" spans="1:4" ht="19.5" customHeight="1" x14ac:dyDescent="0.25">
      <c r="A31" s="75"/>
      <c r="B31" s="87" t="s">
        <v>26</v>
      </c>
      <c r="C31" s="87"/>
      <c r="D31" s="75"/>
    </row>
    <row r="32" spans="1:4" ht="18" customHeight="1" x14ac:dyDescent="0.25">
      <c r="A32" s="75"/>
      <c r="B32" s="88"/>
      <c r="C32" s="89" t="s">
        <v>27</v>
      </c>
      <c r="D32" s="89"/>
    </row>
    <row r="33" spans="1:4" ht="18" customHeight="1" x14ac:dyDescent="0.25">
      <c r="A33" s="75"/>
      <c r="B33" s="90"/>
      <c r="C33" s="89" t="s">
        <v>28</v>
      </c>
      <c r="D33" s="89"/>
    </row>
    <row r="34" spans="1:4" ht="18" customHeight="1" x14ac:dyDescent="0.25">
      <c r="A34" s="75"/>
      <c r="B34" s="91"/>
      <c r="C34" s="89" t="s">
        <v>29</v>
      </c>
      <c r="D34" s="89"/>
    </row>
    <row r="35" spans="1:4" ht="18" customHeight="1" x14ac:dyDescent="0.25">
      <c r="A35" s="75"/>
      <c r="B35" s="92"/>
      <c r="C35" s="89" t="s">
        <v>30</v>
      </c>
      <c r="D35" s="89"/>
    </row>
    <row r="36" spans="1:4" ht="18" customHeight="1" x14ac:dyDescent="0.25">
      <c r="A36" s="75"/>
      <c r="B36" s="90"/>
      <c r="C36" s="89" t="s">
        <v>31</v>
      </c>
      <c r="D36" s="89"/>
    </row>
    <row r="37" spans="1:4" ht="18" customHeight="1" x14ac:dyDescent="0.25">
      <c r="A37" s="75"/>
      <c r="B37" s="75"/>
      <c r="C37" s="75"/>
      <c r="D37" s="75"/>
    </row>
    <row r="38" spans="1:4" ht="19.5" customHeight="1" x14ac:dyDescent="0.25">
      <c r="A38" s="75"/>
      <c r="B38" s="93" t="s">
        <v>32</v>
      </c>
      <c r="C38" s="93"/>
      <c r="D38" s="75"/>
    </row>
    <row r="39" spans="1:4" ht="16.5" customHeight="1" x14ac:dyDescent="0.25">
      <c r="A39" s="75"/>
      <c r="B39" s="94" t="s">
        <v>33</v>
      </c>
      <c r="C39" s="89" t="s">
        <v>34</v>
      </c>
      <c r="D39" s="89"/>
    </row>
    <row r="40" spans="1:4" ht="16.5" customHeight="1" x14ac:dyDescent="0.25">
      <c r="A40" s="75"/>
      <c r="B40" s="94" t="s">
        <v>33</v>
      </c>
      <c r="C40" s="89" t="s">
        <v>35</v>
      </c>
      <c r="D40" s="89"/>
    </row>
    <row r="41" spans="1:4" ht="16.5" customHeight="1" x14ac:dyDescent="0.25">
      <c r="A41" s="75"/>
      <c r="B41" s="94" t="s">
        <v>33</v>
      </c>
      <c r="C41" s="89" t="s">
        <v>36</v>
      </c>
      <c r="D41" s="89"/>
    </row>
    <row r="42" spans="1:4" ht="16.5" customHeight="1" x14ac:dyDescent="0.25">
      <c r="A42" s="75"/>
      <c r="B42" s="94" t="s">
        <v>33</v>
      </c>
      <c r="C42" s="89" t="s">
        <v>37</v>
      </c>
      <c r="D42" s="89"/>
    </row>
    <row r="43" spans="1:4" ht="16.5" customHeight="1" x14ac:dyDescent="0.25">
      <c r="A43" s="75"/>
      <c r="B43" s="94" t="s">
        <v>33</v>
      </c>
      <c r="C43" s="89" t="s">
        <v>38</v>
      </c>
      <c r="D43" s="89"/>
    </row>
    <row r="44" spans="1:4" ht="16.5" customHeight="1" x14ac:dyDescent="0.25">
      <c r="A44" s="75"/>
      <c r="B44" s="94" t="s">
        <v>33</v>
      </c>
      <c r="C44" s="89" t="s">
        <v>39</v>
      </c>
      <c r="D44" s="89"/>
    </row>
    <row r="45" spans="1:4" ht="18" customHeight="1" x14ac:dyDescent="0.25">
      <c r="A45" s="75"/>
      <c r="B45" s="75"/>
      <c r="C45" s="75"/>
      <c r="D45" s="75"/>
    </row>
    <row r="46" spans="1:4" ht="18" customHeight="1" x14ac:dyDescent="0.25">
      <c r="A46" s="75"/>
      <c r="B46" s="75"/>
      <c r="C46" s="75"/>
      <c r="D46" s="75"/>
    </row>
    <row r="47" spans="1:4" ht="18" customHeight="1" x14ac:dyDescent="0.25">
      <c r="A47" s="75"/>
      <c r="B47" s="75"/>
      <c r="C47" s="75"/>
      <c r="D47" s="75"/>
    </row>
    <row r="48" spans="1:4" ht="18" customHeight="1" x14ac:dyDescent="0.25">
      <c r="A48" s="75"/>
      <c r="B48" s="75"/>
      <c r="C48" s="75"/>
      <c r="D48" s="75"/>
    </row>
    <row r="49" spans="1:4" ht="18" customHeight="1" x14ac:dyDescent="0.25">
      <c r="A49" s="75"/>
      <c r="B49" s="75"/>
      <c r="C49" s="75"/>
      <c r="D49" s="75"/>
    </row>
    <row r="50" spans="1:4" ht="18" customHeight="1" x14ac:dyDescent="0.25">
      <c r="A50" s="75"/>
      <c r="B50" s="75"/>
      <c r="C50" s="75"/>
      <c r="D50" s="75"/>
    </row>
    <row r="51" spans="1:4" ht="18" customHeight="1" x14ac:dyDescent="0.25">
      <c r="A51" s="75"/>
      <c r="B51" s="75"/>
      <c r="C51" s="75"/>
      <c r="D51" s="75"/>
    </row>
    <row r="52" spans="1:4" ht="18" customHeight="1" x14ac:dyDescent="0.25">
      <c r="A52" s="75"/>
      <c r="B52" s="75"/>
      <c r="C52" s="75"/>
      <c r="D52" s="75"/>
    </row>
    <row r="53" spans="1:4" ht="18" customHeight="1" x14ac:dyDescent="0.25">
      <c r="A53" s="75"/>
      <c r="B53" s="75"/>
      <c r="C53" s="75"/>
      <c r="D53" s="75"/>
    </row>
    <row r="54" spans="1:4" ht="18" customHeight="1" x14ac:dyDescent="0.25">
      <c r="A54" s="75"/>
      <c r="B54" s="75"/>
      <c r="C54" s="75"/>
      <c r="D54" s="75"/>
    </row>
    <row r="55" spans="1:4" ht="18" customHeight="1" x14ac:dyDescent="0.25">
      <c r="A55" s="75"/>
      <c r="B55" s="75"/>
      <c r="C55" s="75"/>
      <c r="D55" s="75"/>
    </row>
    <row r="56" spans="1:4" ht="18" customHeight="1" x14ac:dyDescent="0.25">
      <c r="A56" s="75"/>
      <c r="B56" s="75"/>
      <c r="C56" s="75"/>
      <c r="D56" s="75"/>
    </row>
    <row r="57" spans="1:4" ht="18" customHeight="1" x14ac:dyDescent="0.25">
      <c r="A57" s="75"/>
      <c r="B57" s="75"/>
      <c r="C57" s="75"/>
      <c r="D57" s="75"/>
    </row>
    <row r="58" spans="1:4" ht="15.75" customHeight="1" x14ac:dyDescent="0.25">
      <c r="A58" s="75"/>
      <c r="B58" s="95" t="s">
        <v>40</v>
      </c>
      <c r="C58" s="95"/>
      <c r="D58" s="75"/>
    </row>
    <row r="59" spans="1:4" ht="18" customHeight="1" x14ac:dyDescent="0.25">
      <c r="A59" s="75"/>
      <c r="B59" s="75"/>
      <c r="C59" s="75"/>
      <c r="D59" s="75"/>
    </row>
  </sheetData>
  <mergeCells count="20">
    <mergeCell ref="C41:D41"/>
    <mergeCell ref="C42:D42"/>
    <mergeCell ref="C43:D43"/>
    <mergeCell ref="C44:D44"/>
    <mergeCell ref="B58:C58"/>
    <mergeCell ref="C35:D35"/>
    <mergeCell ref="C36:D36"/>
    <mergeCell ref="B38:C38"/>
    <mergeCell ref="C39:D39"/>
    <mergeCell ref="C40:D40"/>
    <mergeCell ref="B22:C22"/>
    <mergeCell ref="B31:C31"/>
    <mergeCell ref="C32:D32"/>
    <mergeCell ref="C33:D33"/>
    <mergeCell ref="C34:D34"/>
    <mergeCell ref="B2:C3"/>
    <mergeCell ref="B4:C5"/>
    <mergeCell ref="B10:C10"/>
    <mergeCell ref="B11:C11"/>
    <mergeCell ref="B8:D9"/>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C3483"/>
  </sheetPr>
  <dimension ref="A1:C24"/>
  <sheetViews>
    <sheetView zoomScaleNormal="100" workbookViewId="0">
      <pane ySplit="2" topLeftCell="A9" activePane="bottomLeft" state="frozen"/>
      <selection pane="bottomLeft" sqref="A1:C1"/>
    </sheetView>
  </sheetViews>
  <sheetFormatPr defaultColWidth="8.7109375" defaultRowHeight="15" x14ac:dyDescent="0.25"/>
  <cols>
    <col min="1" max="1" width="40" style="2" customWidth="1"/>
    <col min="2" max="2" width="16" style="2" customWidth="1"/>
    <col min="3" max="3" width="56.5703125" style="2" customWidth="1"/>
    <col min="4" max="16384" width="8.7109375" style="2"/>
  </cols>
  <sheetData>
    <row r="1" spans="1:3" ht="30" customHeight="1" x14ac:dyDescent="0.25">
      <c r="A1" s="59" t="s">
        <v>41</v>
      </c>
      <c r="B1" s="59"/>
      <c r="C1" s="59"/>
    </row>
    <row r="2" spans="1:3" ht="15" customHeight="1" x14ac:dyDescent="0.25">
      <c r="A2" s="3" t="s">
        <v>42</v>
      </c>
      <c r="B2" s="3"/>
      <c r="C2" s="3"/>
    </row>
    <row r="3" spans="1:3" ht="21.75" customHeight="1" x14ac:dyDescent="0.25">
      <c r="A3" s="4" t="s">
        <v>43</v>
      </c>
      <c r="B3" s="4"/>
      <c r="C3" s="4"/>
    </row>
    <row r="4" spans="1:3" ht="19.5" customHeight="1" x14ac:dyDescent="0.25">
      <c r="A4" s="5" t="s">
        <v>44</v>
      </c>
      <c r="B4" s="5" t="s">
        <v>45</v>
      </c>
      <c r="C4" s="5" t="s">
        <v>46</v>
      </c>
    </row>
    <row r="5" spans="1:3" ht="19.5" customHeight="1" x14ac:dyDescent="0.25">
      <c r="A5" s="9" t="s">
        <v>47</v>
      </c>
      <c r="B5" s="71">
        <v>0.25169999999999998</v>
      </c>
      <c r="C5" s="35" t="s">
        <v>48</v>
      </c>
    </row>
    <row r="6" spans="1:3" ht="19.5" customHeight="1" x14ac:dyDescent="0.25">
      <c r="A6" s="9" t="s">
        <v>49</v>
      </c>
      <c r="B6" s="8">
        <v>26</v>
      </c>
      <c r="C6" s="35" t="s">
        <v>50</v>
      </c>
    </row>
    <row r="7" spans="1:3" ht="19.5" customHeight="1" x14ac:dyDescent="0.25">
      <c r="A7" s="9" t="s">
        <v>51</v>
      </c>
      <c r="B7" s="8">
        <v>0</v>
      </c>
      <c r="C7" s="35" t="s">
        <v>52</v>
      </c>
    </row>
    <row r="9" spans="1:3" ht="21.75" customHeight="1" x14ac:dyDescent="0.25">
      <c r="A9" s="24" t="s">
        <v>53</v>
      </c>
      <c r="B9" s="24"/>
      <c r="C9" s="24"/>
    </row>
    <row r="10" spans="1:3" ht="19.5" customHeight="1" x14ac:dyDescent="0.25">
      <c r="A10" s="5" t="s">
        <v>44</v>
      </c>
      <c r="B10" s="5" t="s">
        <v>45</v>
      </c>
      <c r="C10" s="5" t="s">
        <v>46</v>
      </c>
    </row>
    <row r="11" spans="1:3" ht="19.5" customHeight="1" x14ac:dyDescent="0.25">
      <c r="A11" s="9" t="s">
        <v>54</v>
      </c>
      <c r="B11" s="8">
        <v>500000</v>
      </c>
      <c r="C11" s="35" t="s">
        <v>55</v>
      </c>
    </row>
    <row r="12" spans="1:3" ht="19.5" customHeight="1" x14ac:dyDescent="0.25">
      <c r="A12" s="9" t="s">
        <v>56</v>
      </c>
      <c r="B12" s="72">
        <v>0.2</v>
      </c>
      <c r="C12" s="35" t="s">
        <v>57</v>
      </c>
    </row>
    <row r="14" spans="1:3" ht="21.75" customHeight="1" x14ac:dyDescent="0.25">
      <c r="A14" s="4" t="s">
        <v>58</v>
      </c>
      <c r="B14" s="4"/>
      <c r="C14" s="4"/>
    </row>
    <row r="15" spans="1:3" ht="19.5" customHeight="1" x14ac:dyDescent="0.25">
      <c r="A15" s="5" t="s">
        <v>59</v>
      </c>
      <c r="B15" s="5" t="s">
        <v>60</v>
      </c>
      <c r="C15" s="5" t="s">
        <v>61</v>
      </c>
    </row>
    <row r="16" spans="1:3" ht="19.5" customHeight="1" x14ac:dyDescent="0.25">
      <c r="A16" s="9" t="s">
        <v>62</v>
      </c>
      <c r="B16" s="73">
        <v>0</v>
      </c>
      <c r="C16" s="35" t="s">
        <v>63</v>
      </c>
    </row>
    <row r="17" spans="1:3" ht="19.5" customHeight="1" x14ac:dyDescent="0.25">
      <c r="A17" s="9" t="s">
        <v>64</v>
      </c>
      <c r="B17" s="73">
        <v>0.05</v>
      </c>
      <c r="C17" s="35" t="s">
        <v>65</v>
      </c>
    </row>
    <row r="18" spans="1:3" ht="19.5" customHeight="1" x14ac:dyDescent="0.25">
      <c r="A18" s="9" t="s">
        <v>66</v>
      </c>
      <c r="B18" s="73">
        <v>0.12</v>
      </c>
      <c r="C18" s="35" t="s">
        <v>67</v>
      </c>
    </row>
    <row r="19" spans="1:3" ht="19.5" customHeight="1" x14ac:dyDescent="0.25">
      <c r="A19" s="9" t="s">
        <v>68</v>
      </c>
      <c r="B19" s="73">
        <v>0.18</v>
      </c>
      <c r="C19" s="35" t="s">
        <v>69</v>
      </c>
    </row>
    <row r="20" spans="1:3" ht="19.5" customHeight="1" x14ac:dyDescent="0.25">
      <c r="A20" s="9" t="s">
        <v>70</v>
      </c>
      <c r="B20" s="73">
        <v>0.28000000000000003</v>
      </c>
      <c r="C20" s="35" t="s">
        <v>71</v>
      </c>
    </row>
    <row r="21" spans="1:3" ht="21.75" customHeight="1" x14ac:dyDescent="0.25">
      <c r="A21" s="74" t="s">
        <v>46</v>
      </c>
    </row>
    <row r="22" spans="1:3" ht="28.5" customHeight="1" x14ac:dyDescent="0.25">
      <c r="A22" s="55" t="s">
        <v>72</v>
      </c>
      <c r="B22" s="55"/>
      <c r="C22" s="55"/>
    </row>
    <row r="23" spans="1:3" ht="35.25" customHeight="1" x14ac:dyDescent="0.25">
      <c r="A23" s="55" t="s">
        <v>220</v>
      </c>
      <c r="B23" s="55"/>
      <c r="C23" s="55"/>
    </row>
    <row r="24" spans="1:3" ht="38.25" customHeight="1" x14ac:dyDescent="0.25">
      <c r="A24" s="55" t="s">
        <v>221</v>
      </c>
      <c r="B24" s="55"/>
      <c r="C24" s="55"/>
    </row>
  </sheetData>
  <mergeCells count="8">
    <mergeCell ref="A22:C22"/>
    <mergeCell ref="A23:C23"/>
    <mergeCell ref="A24:C24"/>
    <mergeCell ref="A1:C1"/>
    <mergeCell ref="A2:C2"/>
    <mergeCell ref="A3:C3"/>
    <mergeCell ref="A9:C9"/>
    <mergeCell ref="A14:C14"/>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17A65"/>
  </sheetPr>
  <dimension ref="A1:K14"/>
  <sheetViews>
    <sheetView zoomScaleNormal="100" workbookViewId="0">
      <pane xSplit="1" ySplit="3" topLeftCell="B4" activePane="bottomRight" state="frozen"/>
      <selection pane="topRight" activeCell="B1" sqref="B1"/>
      <selection pane="bottomLeft" activeCell="A4" sqref="A4"/>
      <selection pane="bottomRight" activeCell="B15" sqref="B15"/>
    </sheetView>
  </sheetViews>
  <sheetFormatPr defaultColWidth="8.7109375" defaultRowHeight="15" x14ac:dyDescent="0.25"/>
  <cols>
    <col min="1" max="1" width="4" style="2" customWidth="1"/>
    <col min="2" max="2" width="24" style="2" customWidth="1"/>
    <col min="3" max="4" width="14" style="2" customWidth="1"/>
    <col min="5" max="5" width="13" style="2" customWidth="1"/>
    <col min="6" max="6" width="12" style="2" customWidth="1"/>
    <col min="7" max="7" width="16.5703125" style="2" customWidth="1"/>
    <col min="8" max="8" width="16" style="2" customWidth="1"/>
    <col min="9" max="9" width="10" style="2" customWidth="1"/>
    <col min="10" max="10" width="16" style="2" customWidth="1"/>
    <col min="11" max="11" width="12" style="2" customWidth="1"/>
    <col min="12" max="16384" width="8.7109375" style="2"/>
  </cols>
  <sheetData>
    <row r="1" spans="1:11" ht="30" customHeight="1" x14ac:dyDescent="0.25">
      <c r="A1" s="1" t="s">
        <v>73</v>
      </c>
      <c r="B1" s="1"/>
      <c r="C1" s="1"/>
      <c r="D1" s="1"/>
      <c r="E1" s="1"/>
      <c r="F1" s="1"/>
      <c r="G1" s="1"/>
      <c r="H1" s="1"/>
      <c r="I1" s="1"/>
      <c r="J1" s="1"/>
      <c r="K1" s="1"/>
    </row>
    <row r="2" spans="1:11" ht="15" customHeight="1" x14ac:dyDescent="0.25">
      <c r="A2" s="3" t="s">
        <v>74</v>
      </c>
      <c r="B2" s="3"/>
      <c r="C2" s="3"/>
      <c r="D2" s="3"/>
      <c r="E2" s="3"/>
      <c r="F2" s="3"/>
      <c r="G2" s="3"/>
      <c r="H2" s="3"/>
      <c r="I2" s="3"/>
      <c r="J2" s="3"/>
      <c r="K2" s="3"/>
    </row>
    <row r="3" spans="1:11" ht="30" customHeight="1" x14ac:dyDescent="0.25">
      <c r="A3" s="5" t="s">
        <v>75</v>
      </c>
      <c r="B3" s="5" t="s">
        <v>76</v>
      </c>
      <c r="C3" s="5" t="s">
        <v>77</v>
      </c>
      <c r="D3" s="5" t="s">
        <v>78</v>
      </c>
      <c r="E3" s="5" t="s">
        <v>79</v>
      </c>
      <c r="F3" s="5" t="s">
        <v>80</v>
      </c>
      <c r="G3" s="5" t="s">
        <v>81</v>
      </c>
      <c r="H3" s="5" t="s">
        <v>82</v>
      </c>
      <c r="I3" s="5" t="s">
        <v>83</v>
      </c>
      <c r="J3" s="5" t="s">
        <v>84</v>
      </c>
      <c r="K3" s="5" t="s">
        <v>85</v>
      </c>
    </row>
    <row r="4" spans="1:11" ht="19.5" customHeight="1" x14ac:dyDescent="0.25">
      <c r="A4" s="53">
        <v>1</v>
      </c>
      <c r="B4" s="67" t="s">
        <v>86</v>
      </c>
      <c r="C4" s="68">
        <v>95</v>
      </c>
      <c r="D4" s="8">
        <v>48</v>
      </c>
      <c r="E4" s="16">
        <f t="shared" ref="E4:E11" si="0">C4-D4</f>
        <v>47</v>
      </c>
      <c r="F4" s="26">
        <f t="shared" ref="F4:F11" si="1">IFERROR(E4/C4,0)</f>
        <v>0.49473684210526314</v>
      </c>
      <c r="G4" s="8">
        <v>4500</v>
      </c>
      <c r="H4" s="68">
        <v>85000</v>
      </c>
      <c r="I4" s="31">
        <v>0.18</v>
      </c>
      <c r="J4" s="16">
        <f t="shared" ref="J4:J11" si="2">C4*G4</f>
        <v>427500</v>
      </c>
      <c r="K4" s="26">
        <f t="shared" ref="K4:K11" si="3">IFERROR(J4/$J$12,0)</f>
        <v>0.18149012948418594</v>
      </c>
    </row>
    <row r="5" spans="1:11" ht="19.5" customHeight="1" x14ac:dyDescent="0.25">
      <c r="A5" s="53">
        <v>2</v>
      </c>
      <c r="B5" s="67" t="s">
        <v>87</v>
      </c>
      <c r="C5" s="68">
        <v>380</v>
      </c>
      <c r="D5" s="8">
        <v>280</v>
      </c>
      <c r="E5" s="16">
        <f t="shared" si="0"/>
        <v>100</v>
      </c>
      <c r="F5" s="26">
        <f t="shared" si="1"/>
        <v>0.26315789473684209</v>
      </c>
      <c r="G5" s="8">
        <v>800</v>
      </c>
      <c r="H5" s="68">
        <v>180000</v>
      </c>
      <c r="I5" s="31">
        <v>0.18</v>
      </c>
      <c r="J5" s="16">
        <f t="shared" si="2"/>
        <v>304000</v>
      </c>
      <c r="K5" s="26">
        <f t="shared" si="3"/>
        <v>0.12905964763319891</v>
      </c>
    </row>
    <row r="6" spans="1:11" ht="19.5" customHeight="1" x14ac:dyDescent="0.25">
      <c r="A6" s="53">
        <v>3</v>
      </c>
      <c r="B6" s="67" t="s">
        <v>88</v>
      </c>
      <c r="C6" s="68">
        <v>18</v>
      </c>
      <c r="D6" s="8">
        <v>12</v>
      </c>
      <c r="E6" s="16">
        <f t="shared" si="0"/>
        <v>6</v>
      </c>
      <c r="F6" s="26">
        <f t="shared" si="1"/>
        <v>0.33333333333333331</v>
      </c>
      <c r="G6" s="8">
        <v>18000</v>
      </c>
      <c r="H6" s="68">
        <v>35000</v>
      </c>
      <c r="I6" s="31">
        <v>0.12</v>
      </c>
      <c r="J6" s="16">
        <f t="shared" si="2"/>
        <v>324000</v>
      </c>
      <c r="K6" s="26">
        <f t="shared" si="3"/>
        <v>0.13755041392485673</v>
      </c>
    </row>
    <row r="7" spans="1:11" ht="19.5" customHeight="1" x14ac:dyDescent="0.25">
      <c r="A7" s="53">
        <v>4</v>
      </c>
      <c r="B7" s="67" t="s">
        <v>89</v>
      </c>
      <c r="C7" s="68">
        <v>65</v>
      </c>
      <c r="D7" s="8">
        <v>35</v>
      </c>
      <c r="E7" s="16">
        <f t="shared" si="0"/>
        <v>30</v>
      </c>
      <c r="F7" s="26">
        <f t="shared" si="1"/>
        <v>0.46153846153846156</v>
      </c>
      <c r="G7" s="8">
        <v>3200</v>
      </c>
      <c r="H7" s="68">
        <v>55000</v>
      </c>
      <c r="I7" s="31">
        <v>0.18</v>
      </c>
      <c r="J7" s="16">
        <f t="shared" si="2"/>
        <v>208000</v>
      </c>
      <c r="K7" s="26">
        <f t="shared" si="3"/>
        <v>8.8303969433241356E-2</v>
      </c>
    </row>
    <row r="8" spans="1:11" ht="19.5" customHeight="1" x14ac:dyDescent="0.25">
      <c r="A8" s="53">
        <v>5</v>
      </c>
      <c r="B8" s="67" t="s">
        <v>90</v>
      </c>
      <c r="C8" s="68">
        <v>28</v>
      </c>
      <c r="D8" s="8">
        <v>14</v>
      </c>
      <c r="E8" s="16">
        <f t="shared" si="0"/>
        <v>14</v>
      </c>
      <c r="F8" s="26">
        <f t="shared" si="1"/>
        <v>0.5</v>
      </c>
      <c r="G8" s="8">
        <v>7500</v>
      </c>
      <c r="H8" s="68">
        <v>42000</v>
      </c>
      <c r="I8" s="31">
        <v>0.05</v>
      </c>
      <c r="J8" s="16">
        <f t="shared" si="2"/>
        <v>210000</v>
      </c>
      <c r="K8" s="26">
        <f t="shared" si="3"/>
        <v>8.9153046062407135E-2</v>
      </c>
    </row>
    <row r="9" spans="1:11" ht="19.5" customHeight="1" x14ac:dyDescent="0.25">
      <c r="A9" s="53">
        <v>6</v>
      </c>
      <c r="B9" s="67" t="s">
        <v>91</v>
      </c>
      <c r="C9" s="68">
        <v>480</v>
      </c>
      <c r="D9" s="8">
        <v>340</v>
      </c>
      <c r="E9" s="16">
        <f t="shared" si="0"/>
        <v>140</v>
      </c>
      <c r="F9" s="26">
        <f t="shared" si="1"/>
        <v>0.29166666666666669</v>
      </c>
      <c r="G9" s="8">
        <v>600</v>
      </c>
      <c r="H9" s="68">
        <v>220000</v>
      </c>
      <c r="I9" s="31">
        <v>0.18</v>
      </c>
      <c r="J9" s="16">
        <f t="shared" si="2"/>
        <v>288000</v>
      </c>
      <c r="K9" s="26">
        <f t="shared" si="3"/>
        <v>0.12226703459987263</v>
      </c>
    </row>
    <row r="10" spans="1:11" ht="19.5" customHeight="1" x14ac:dyDescent="0.25">
      <c r="A10" s="53">
        <v>7</v>
      </c>
      <c r="B10" s="67" t="s">
        <v>92</v>
      </c>
      <c r="C10" s="68">
        <v>22</v>
      </c>
      <c r="D10" s="8">
        <v>10</v>
      </c>
      <c r="E10" s="16">
        <f t="shared" si="0"/>
        <v>12</v>
      </c>
      <c r="F10" s="26">
        <f t="shared" si="1"/>
        <v>0.54545454545454541</v>
      </c>
      <c r="G10" s="8">
        <v>12000</v>
      </c>
      <c r="H10" s="68">
        <v>30000</v>
      </c>
      <c r="I10" s="31">
        <v>0.12</v>
      </c>
      <c r="J10" s="16">
        <f t="shared" si="2"/>
        <v>264000</v>
      </c>
      <c r="K10" s="26">
        <f t="shared" si="3"/>
        <v>0.11207811504988326</v>
      </c>
    </row>
    <row r="11" spans="1:11" ht="19.5" customHeight="1" x14ac:dyDescent="0.25">
      <c r="A11" s="53">
        <v>8</v>
      </c>
      <c r="B11" s="67" t="s">
        <v>93</v>
      </c>
      <c r="C11" s="68">
        <v>220</v>
      </c>
      <c r="D11" s="8">
        <v>145</v>
      </c>
      <c r="E11" s="16">
        <f t="shared" si="0"/>
        <v>75</v>
      </c>
      <c r="F11" s="26">
        <f t="shared" si="1"/>
        <v>0.34090909090909088</v>
      </c>
      <c r="G11" s="8">
        <v>1500</v>
      </c>
      <c r="H11" s="68">
        <v>120000</v>
      </c>
      <c r="I11" s="31">
        <v>0.18</v>
      </c>
      <c r="J11" s="16">
        <f t="shared" si="2"/>
        <v>330000</v>
      </c>
      <c r="K11" s="26">
        <f t="shared" si="3"/>
        <v>0.14009764381235407</v>
      </c>
    </row>
    <row r="12" spans="1:11" ht="19.5" customHeight="1" x14ac:dyDescent="0.25">
      <c r="A12" s="38"/>
      <c r="B12" s="40" t="s">
        <v>94</v>
      </c>
      <c r="C12" s="38"/>
      <c r="D12" s="38"/>
      <c r="E12" s="38"/>
      <c r="F12" s="38"/>
      <c r="G12" s="69">
        <f>SUM(G4:G11)</f>
        <v>48100</v>
      </c>
      <c r="H12" s="69">
        <f>SUM(H4:H11)</f>
        <v>767000</v>
      </c>
      <c r="I12" s="38"/>
      <c r="J12" s="69">
        <f>SUM(J4:J11)</f>
        <v>2355500</v>
      </c>
      <c r="K12" s="70" t="s">
        <v>95</v>
      </c>
    </row>
    <row r="14" spans="1:11" ht="40.5" customHeight="1" x14ac:dyDescent="0.25">
      <c r="A14" s="55" t="s">
        <v>96</v>
      </c>
      <c r="B14" s="55"/>
      <c r="C14" s="55"/>
      <c r="D14" s="55"/>
      <c r="E14" s="55"/>
      <c r="F14" s="55"/>
      <c r="G14" s="55"/>
      <c r="H14" s="55"/>
      <c r="I14" s="55"/>
      <c r="J14" s="55"/>
      <c r="K14" s="55"/>
    </row>
  </sheetData>
  <mergeCells count="3">
    <mergeCell ref="A1:K1"/>
    <mergeCell ref="A2:K2"/>
    <mergeCell ref="A14:K14"/>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4AC0D"/>
  </sheetPr>
  <dimension ref="A1:G75"/>
  <sheetViews>
    <sheetView zoomScaleNormal="100" workbookViewId="0">
      <pane ySplit="2" topLeftCell="A3" activePane="bottomLeft" state="frozen"/>
      <selection pane="bottomLeft" sqref="A1:G1"/>
    </sheetView>
  </sheetViews>
  <sheetFormatPr defaultColWidth="8.7109375" defaultRowHeight="15" x14ac:dyDescent="0.25"/>
  <cols>
    <col min="1" max="1" width="40.5703125" style="2" customWidth="1"/>
    <col min="2" max="2" width="16" style="2" customWidth="1"/>
    <col min="3" max="3" width="29.42578125" style="2" customWidth="1"/>
    <col min="4" max="5" width="16" style="2" customWidth="1"/>
    <col min="6" max="6" width="24" style="2" customWidth="1"/>
    <col min="7" max="7" width="40.140625" style="2" customWidth="1"/>
    <col min="8" max="16384" width="8.7109375" style="2"/>
  </cols>
  <sheetData>
    <row r="1" spans="1:7" ht="30" customHeight="1" x14ac:dyDescent="0.25">
      <c r="A1" s="66" t="s">
        <v>97</v>
      </c>
      <c r="B1" s="66"/>
      <c r="C1" s="66"/>
      <c r="D1" s="66"/>
      <c r="E1" s="66"/>
      <c r="F1" s="66"/>
      <c r="G1" s="66"/>
    </row>
    <row r="2" spans="1:7" ht="15" customHeight="1" x14ac:dyDescent="0.25">
      <c r="A2" s="3" t="s">
        <v>98</v>
      </c>
      <c r="B2" s="3"/>
      <c r="C2" s="3"/>
      <c r="D2" s="3"/>
      <c r="E2" s="3"/>
      <c r="F2" s="3"/>
    </row>
    <row r="3" spans="1:7" ht="21.75" customHeight="1" x14ac:dyDescent="0.25">
      <c r="A3" s="60" t="s">
        <v>99</v>
      </c>
      <c r="B3" s="60"/>
      <c r="C3" s="60"/>
      <c r="D3" s="60"/>
      <c r="E3" s="60"/>
      <c r="F3" s="60"/>
      <c r="G3" s="60"/>
    </row>
    <row r="4" spans="1:7" ht="27.75" customHeight="1" x14ac:dyDescent="0.25">
      <c r="A4" s="5" t="s">
        <v>100</v>
      </c>
      <c r="B4" s="5" t="s">
        <v>101</v>
      </c>
      <c r="C4" s="5" t="s">
        <v>102</v>
      </c>
      <c r="D4" s="5" t="s">
        <v>103</v>
      </c>
      <c r="E4" s="5" t="s">
        <v>104</v>
      </c>
      <c r="F4" s="5" t="s">
        <v>105</v>
      </c>
      <c r="G4" s="5" t="s">
        <v>106</v>
      </c>
    </row>
    <row r="5" spans="1:7" ht="19.5" customHeight="1" x14ac:dyDescent="0.25">
      <c r="A5" s="6" t="s">
        <v>107</v>
      </c>
      <c r="B5" s="6"/>
      <c r="C5" s="6"/>
      <c r="D5" s="6"/>
      <c r="E5" s="6"/>
      <c r="F5" s="6"/>
    </row>
    <row r="6" spans="1:7" ht="19.5" customHeight="1" x14ac:dyDescent="0.25">
      <c r="A6" s="7" t="s">
        <v>108</v>
      </c>
      <c r="B6" s="8">
        <v>85000</v>
      </c>
      <c r="C6" s="9" t="s">
        <v>109</v>
      </c>
      <c r="D6" s="8">
        <v>72</v>
      </c>
      <c r="E6" s="10">
        <f>IFERROR('📦 PRODUCT INPUTS'!D4+B6/'📦 PRODUCT INPUTS'!G4,0)</f>
        <v>66.888888888888886</v>
      </c>
      <c r="F6" s="11">
        <f>D6</f>
        <v>72</v>
      </c>
    </row>
    <row r="7" spans="1:7" ht="21.75" customHeight="1" x14ac:dyDescent="0.25">
      <c r="A7" s="12" t="s">
        <v>110</v>
      </c>
      <c r="B7" s="13">
        <f>IFERROR('📦 PRODUCT INPUTS'!D4*'📦 PRODUCT INPUTS'!G4+B6,0)</f>
        <v>301000</v>
      </c>
      <c r="C7" s="13">
        <f>IFERROR(D6*'📦 PRODUCT INPUTS'!G4,0)</f>
        <v>324000</v>
      </c>
      <c r="D7" s="13">
        <f>IFERROR(B7-C7,0)</f>
        <v>-23000</v>
      </c>
      <c r="E7" s="14"/>
      <c r="F7" s="15" t="str">
        <f>IF(ISNUMBER(B7-C7),IF(B7&lt;C7,"MAKE saves Rs."&amp;TEXT(ABS(D7),"#,##0")&amp;"/mo",IF(B7=C7,"INDIFFERENT","BUY saves Rs."&amp;TEXT(ABS(D7),"#,##0")&amp;"/mo")),"—")</f>
        <v>MAKE saves Rs.23,000/mo</v>
      </c>
      <c r="G7" s="16">
        <f>IFERROR(ABS(D7)*12,0)</f>
        <v>276000</v>
      </c>
    </row>
    <row r="8" spans="1:7" ht="19.5" customHeight="1" x14ac:dyDescent="0.25">
      <c r="A8" s="6" t="s">
        <v>111</v>
      </c>
      <c r="B8" s="6"/>
      <c r="C8" s="6"/>
      <c r="D8" s="6"/>
      <c r="E8" s="6"/>
      <c r="F8" s="6"/>
    </row>
    <row r="9" spans="1:7" ht="19.5" customHeight="1" x14ac:dyDescent="0.25">
      <c r="A9" s="7" t="s">
        <v>108</v>
      </c>
      <c r="B9" s="8">
        <v>180000</v>
      </c>
      <c r="C9" s="9" t="s">
        <v>109</v>
      </c>
      <c r="D9" s="8">
        <v>320</v>
      </c>
      <c r="E9" s="10">
        <f>IFERROR('📦 PRODUCT INPUTS'!D5+B9/'📦 PRODUCT INPUTS'!G5,0)</f>
        <v>505</v>
      </c>
      <c r="F9" s="11">
        <f>D9</f>
        <v>320</v>
      </c>
    </row>
    <row r="10" spans="1:7" ht="21.75" customHeight="1" x14ac:dyDescent="0.25">
      <c r="A10" s="12" t="s">
        <v>112</v>
      </c>
      <c r="B10" s="13">
        <f>IFERROR('📦 PRODUCT INPUTS'!D5*'📦 PRODUCT INPUTS'!G5+B9,0)</f>
        <v>404000</v>
      </c>
      <c r="C10" s="13">
        <f>IFERROR(D9*'📦 PRODUCT INPUTS'!G5,0)</f>
        <v>256000</v>
      </c>
      <c r="D10" s="13">
        <f>IFERROR(B10-C10,0)</f>
        <v>148000</v>
      </c>
      <c r="E10" s="14"/>
      <c r="F10" s="15" t="str">
        <f>IF(ISNUMBER(B10-C10),IF(B10&lt;C10,"MAKE saves Rs."&amp;TEXT(ABS(D10),"#,##0")&amp;"/mo",IF(B10=C10,"INDIFFERENT","BUY saves Rs."&amp;TEXT(ABS(D10),"#,##0")&amp;"/mo")),"—")</f>
        <v>BUY saves Rs.148,000/mo</v>
      </c>
      <c r="G10" s="16">
        <f>IFERROR(ABS(D10)*12,0)</f>
        <v>1776000</v>
      </c>
    </row>
    <row r="11" spans="1:7" ht="19.5" customHeight="1" x14ac:dyDescent="0.25">
      <c r="A11" s="6" t="s">
        <v>113</v>
      </c>
      <c r="B11" s="6"/>
      <c r="C11" s="6"/>
      <c r="D11" s="6"/>
      <c r="E11" s="6"/>
      <c r="F11" s="6"/>
    </row>
    <row r="12" spans="1:7" ht="19.5" customHeight="1" x14ac:dyDescent="0.25">
      <c r="A12" s="7" t="s">
        <v>108</v>
      </c>
      <c r="B12" s="8">
        <v>35000</v>
      </c>
      <c r="C12" s="9" t="s">
        <v>109</v>
      </c>
      <c r="D12" s="8">
        <v>15</v>
      </c>
      <c r="E12" s="10">
        <f>IFERROR('📦 PRODUCT INPUTS'!D6+B12/'📦 PRODUCT INPUTS'!G6,0)</f>
        <v>13.944444444444445</v>
      </c>
      <c r="F12" s="11">
        <f>D12</f>
        <v>15</v>
      </c>
    </row>
    <row r="13" spans="1:7" ht="21.75" customHeight="1" x14ac:dyDescent="0.25">
      <c r="A13" s="12" t="s">
        <v>114</v>
      </c>
      <c r="B13" s="13">
        <f>IFERROR('📦 PRODUCT INPUTS'!D6*'📦 PRODUCT INPUTS'!G6+B12,0)</f>
        <v>251000</v>
      </c>
      <c r="C13" s="13">
        <f>IFERROR(D12*'📦 PRODUCT INPUTS'!G6,0)</f>
        <v>270000</v>
      </c>
      <c r="D13" s="13">
        <f>IFERROR(B13-C13,0)</f>
        <v>-19000</v>
      </c>
      <c r="E13" s="14"/>
      <c r="F13" s="15" t="str">
        <f>IF(ISNUMBER(B13-C13),IF(B13&lt;C13,"MAKE saves Rs."&amp;TEXT(ABS(D13),"#,##0")&amp;"/mo",IF(B13=C13,"INDIFFERENT","BUY saves Rs."&amp;TEXT(ABS(D13),"#,##0")&amp;"/mo")),"—")</f>
        <v>MAKE saves Rs.19,000/mo</v>
      </c>
      <c r="G13" s="16">
        <f>IFERROR(ABS(D13)*12,0)</f>
        <v>228000</v>
      </c>
    </row>
    <row r="14" spans="1:7" ht="19.5" customHeight="1" x14ac:dyDescent="0.25">
      <c r="A14" s="6" t="s">
        <v>115</v>
      </c>
      <c r="B14" s="6"/>
      <c r="C14" s="6"/>
      <c r="D14" s="6"/>
      <c r="E14" s="6"/>
      <c r="F14" s="6"/>
    </row>
    <row r="15" spans="1:7" ht="19.5" customHeight="1" x14ac:dyDescent="0.25">
      <c r="A15" s="7" t="s">
        <v>108</v>
      </c>
      <c r="B15" s="8">
        <v>55000</v>
      </c>
      <c r="C15" s="9" t="s">
        <v>109</v>
      </c>
      <c r="D15" s="8">
        <v>55</v>
      </c>
      <c r="E15" s="10">
        <f>IFERROR('📦 PRODUCT INPUTS'!D7+B15/'📦 PRODUCT INPUTS'!G7,0)</f>
        <v>52.1875</v>
      </c>
      <c r="F15" s="11">
        <f>D15</f>
        <v>55</v>
      </c>
    </row>
    <row r="16" spans="1:7" ht="21.75" customHeight="1" x14ac:dyDescent="0.25">
      <c r="A16" s="12" t="s">
        <v>116</v>
      </c>
      <c r="B16" s="13">
        <f>IFERROR('📦 PRODUCT INPUTS'!D7*'📦 PRODUCT INPUTS'!G7+B15,0)</f>
        <v>167000</v>
      </c>
      <c r="C16" s="13">
        <f>IFERROR(D15*'📦 PRODUCT INPUTS'!G7,0)</f>
        <v>176000</v>
      </c>
      <c r="D16" s="13">
        <f>IFERROR(B16-C16,0)</f>
        <v>-9000</v>
      </c>
      <c r="E16" s="14"/>
      <c r="F16" s="15" t="str">
        <f>IF(ISNUMBER(B16-C16),IF(B16&lt;C16,"MAKE saves Rs."&amp;TEXT(ABS(D16),"#,##0")&amp;"/mo",IF(B16=C16,"INDIFFERENT","BUY saves Rs."&amp;TEXT(ABS(D16),"#,##0")&amp;"/mo")),"—")</f>
        <v>MAKE saves Rs.9,000/mo</v>
      </c>
      <c r="G16" s="16">
        <f>IFERROR(ABS(D16)*12,0)</f>
        <v>108000</v>
      </c>
    </row>
    <row r="17" spans="1:7" ht="19.5" customHeight="1" x14ac:dyDescent="0.25">
      <c r="A17" s="6" t="s">
        <v>117</v>
      </c>
      <c r="B17" s="6"/>
      <c r="C17" s="6"/>
      <c r="D17" s="6"/>
      <c r="E17" s="6"/>
      <c r="F17" s="6"/>
    </row>
    <row r="18" spans="1:7" ht="19.5" customHeight="1" x14ac:dyDescent="0.25">
      <c r="A18" s="7" t="s">
        <v>108</v>
      </c>
      <c r="B18" s="8">
        <v>42000</v>
      </c>
      <c r="C18" s="9" t="s">
        <v>109</v>
      </c>
      <c r="D18" s="8">
        <v>20</v>
      </c>
      <c r="E18" s="10">
        <f>IFERROR('📦 PRODUCT INPUTS'!D8+B18/'📦 PRODUCT INPUTS'!G8,0)</f>
        <v>19.600000000000001</v>
      </c>
      <c r="F18" s="11">
        <f>D18</f>
        <v>20</v>
      </c>
    </row>
    <row r="19" spans="1:7" ht="21.75" customHeight="1" x14ac:dyDescent="0.25">
      <c r="A19" s="12" t="s">
        <v>118</v>
      </c>
      <c r="B19" s="13">
        <f>IFERROR('📦 PRODUCT INPUTS'!D8*'📦 PRODUCT INPUTS'!G8+B18,0)</f>
        <v>147000</v>
      </c>
      <c r="C19" s="13">
        <f>IFERROR(D18*'📦 PRODUCT INPUTS'!G8,0)</f>
        <v>150000</v>
      </c>
      <c r="D19" s="13">
        <f>IFERROR(B19-C19,0)</f>
        <v>-3000</v>
      </c>
      <c r="E19" s="14"/>
      <c r="F19" s="15" t="str">
        <f>IF(ISNUMBER(B19-C19),IF(B19&lt;C19,"MAKE saves Rs."&amp;TEXT(ABS(D19),"#,##0")&amp;"/mo",IF(B19=C19,"INDIFFERENT","BUY saves Rs."&amp;TEXT(ABS(D19),"#,##0")&amp;"/mo")),"—")</f>
        <v>MAKE saves Rs.3,000/mo</v>
      </c>
      <c r="G19" s="16">
        <f>IFERROR(ABS(D19)*12,0)</f>
        <v>36000</v>
      </c>
    </row>
    <row r="20" spans="1:7" ht="19.5" customHeight="1" x14ac:dyDescent="0.25">
      <c r="A20" s="6" t="s">
        <v>119</v>
      </c>
      <c r="B20" s="6"/>
      <c r="C20" s="6"/>
      <c r="D20" s="6"/>
      <c r="E20" s="6"/>
      <c r="F20" s="6"/>
    </row>
    <row r="21" spans="1:7" ht="19.5" customHeight="1" x14ac:dyDescent="0.25">
      <c r="A21" s="7" t="s">
        <v>108</v>
      </c>
      <c r="B21" s="8">
        <v>220000</v>
      </c>
      <c r="C21" s="9" t="s">
        <v>109</v>
      </c>
      <c r="D21" s="8">
        <v>390</v>
      </c>
      <c r="E21" s="10">
        <f>IFERROR('📦 PRODUCT INPUTS'!D9+B21/'📦 PRODUCT INPUTS'!G9,0)</f>
        <v>706.66666666666674</v>
      </c>
      <c r="F21" s="11">
        <f>D21</f>
        <v>390</v>
      </c>
    </row>
    <row r="22" spans="1:7" ht="21.75" customHeight="1" x14ac:dyDescent="0.25">
      <c r="A22" s="12" t="s">
        <v>120</v>
      </c>
      <c r="B22" s="13">
        <f>IFERROR('📦 PRODUCT INPUTS'!D9*'📦 PRODUCT INPUTS'!G9+B21,0)</f>
        <v>424000</v>
      </c>
      <c r="C22" s="13">
        <f>IFERROR(D21*'📦 PRODUCT INPUTS'!G9,0)</f>
        <v>234000</v>
      </c>
      <c r="D22" s="13">
        <f>IFERROR(B22-C22,0)</f>
        <v>190000</v>
      </c>
      <c r="E22" s="14"/>
      <c r="F22" s="15" t="str">
        <f>IF(ISNUMBER(B22-C22),IF(B22&lt;C22,"MAKE saves Rs."&amp;TEXT(ABS(D22),"#,##0")&amp;"/mo",IF(B22=C22,"INDIFFERENT","BUY saves Rs."&amp;TEXT(ABS(D22),"#,##0")&amp;"/mo")),"—")</f>
        <v>BUY saves Rs.190,000/mo</v>
      </c>
      <c r="G22" s="16">
        <f>IFERROR(ABS(D22)*12,0)</f>
        <v>2280000</v>
      </c>
    </row>
    <row r="23" spans="1:7" ht="19.5" customHeight="1" x14ac:dyDescent="0.25">
      <c r="A23" s="6" t="s">
        <v>121</v>
      </c>
      <c r="B23" s="6"/>
      <c r="C23" s="6"/>
      <c r="D23" s="6"/>
      <c r="E23" s="6"/>
      <c r="F23" s="6"/>
    </row>
    <row r="24" spans="1:7" ht="19.5" customHeight="1" x14ac:dyDescent="0.25">
      <c r="A24" s="7" t="s">
        <v>108</v>
      </c>
      <c r="B24" s="8">
        <v>30000</v>
      </c>
      <c r="C24" s="9" t="s">
        <v>109</v>
      </c>
      <c r="D24" s="8">
        <v>18</v>
      </c>
      <c r="E24" s="10">
        <f>IFERROR('📦 PRODUCT INPUTS'!D10+B24/'📦 PRODUCT INPUTS'!G10,0)</f>
        <v>12.5</v>
      </c>
      <c r="F24" s="11">
        <f>D24</f>
        <v>18</v>
      </c>
    </row>
    <row r="25" spans="1:7" ht="21.75" customHeight="1" x14ac:dyDescent="0.25">
      <c r="A25" s="12" t="s">
        <v>122</v>
      </c>
      <c r="B25" s="13">
        <f>IFERROR('📦 PRODUCT INPUTS'!D10*'📦 PRODUCT INPUTS'!G10+B24,0)</f>
        <v>150000</v>
      </c>
      <c r="C25" s="13">
        <f>IFERROR(D24*'📦 PRODUCT INPUTS'!G10,0)</f>
        <v>216000</v>
      </c>
      <c r="D25" s="13">
        <f>IFERROR(B25-C25,0)</f>
        <v>-66000</v>
      </c>
      <c r="E25" s="14"/>
      <c r="F25" s="15" t="str">
        <f>IF(ISNUMBER(B25-C25),IF(B25&lt;C25,"MAKE saves Rs."&amp;TEXT(ABS(D25),"#,##0")&amp;"/mo",IF(B25=C25,"INDIFFERENT","BUY saves Rs."&amp;TEXT(ABS(D25),"#,##0")&amp;"/mo")),"—")</f>
        <v>MAKE saves Rs.66,000/mo</v>
      </c>
      <c r="G25" s="16">
        <f>IFERROR(ABS(D25)*12,0)</f>
        <v>792000</v>
      </c>
    </row>
    <row r="26" spans="1:7" ht="19.5" customHeight="1" x14ac:dyDescent="0.25">
      <c r="A26" s="6" t="s">
        <v>123</v>
      </c>
      <c r="B26" s="6"/>
      <c r="C26" s="6"/>
      <c r="D26" s="6"/>
      <c r="E26" s="6"/>
      <c r="F26" s="6"/>
    </row>
    <row r="27" spans="1:7" ht="19.5" customHeight="1" x14ac:dyDescent="0.25">
      <c r="A27" s="7" t="s">
        <v>108</v>
      </c>
      <c r="B27" s="8">
        <v>120000</v>
      </c>
      <c r="C27" s="9" t="s">
        <v>109</v>
      </c>
      <c r="D27" s="8">
        <v>185</v>
      </c>
      <c r="E27" s="10">
        <f>IFERROR('📦 PRODUCT INPUTS'!D11+B27/'📦 PRODUCT INPUTS'!G11,0)</f>
        <v>225</v>
      </c>
      <c r="F27" s="11">
        <f>D27</f>
        <v>185</v>
      </c>
    </row>
    <row r="28" spans="1:7" ht="21.75" customHeight="1" x14ac:dyDescent="0.25">
      <c r="A28" s="12" t="s">
        <v>124</v>
      </c>
      <c r="B28" s="13">
        <f>IFERROR('📦 PRODUCT INPUTS'!D11*'📦 PRODUCT INPUTS'!G11+B27,0)</f>
        <v>337500</v>
      </c>
      <c r="C28" s="13">
        <f>IFERROR(D27*'📦 PRODUCT INPUTS'!G11,0)</f>
        <v>277500</v>
      </c>
      <c r="D28" s="13">
        <f>IFERROR(B28-C28,0)</f>
        <v>60000</v>
      </c>
      <c r="E28" s="14"/>
      <c r="F28" s="15" t="str">
        <f>IF(ISNUMBER(B28-C28),IF(B28&lt;C28,"MAKE saves Rs."&amp;TEXT(ABS(D28),"#,##0")&amp;"/mo",IF(B28=C28,"INDIFFERENT","BUY saves Rs."&amp;TEXT(ABS(D28),"#,##0")&amp;"/mo")),"—")</f>
        <v>BUY saves Rs.60,000/mo</v>
      </c>
      <c r="G28" s="16">
        <f>IFERROR(ABS(D28)*12,0)</f>
        <v>720000</v>
      </c>
    </row>
    <row r="29" spans="1:7" s="22" customFormat="1" ht="9.75" customHeight="1" x14ac:dyDescent="0.25">
      <c r="A29" s="17"/>
      <c r="B29" s="18"/>
      <c r="C29" s="18"/>
      <c r="D29" s="18"/>
      <c r="E29" s="19"/>
      <c r="F29" s="20"/>
      <c r="G29" s="21"/>
    </row>
    <row r="30" spans="1:7" s="22" customFormat="1" ht="47.25" customHeight="1" x14ac:dyDescent="0.25">
      <c r="A30" s="23" t="s">
        <v>217</v>
      </c>
      <c r="B30" s="23"/>
      <c r="C30" s="23"/>
      <c r="D30" s="23"/>
      <c r="E30" s="23"/>
      <c r="F30" s="23"/>
      <c r="G30" s="23"/>
    </row>
    <row r="31" spans="1:7" s="22" customFormat="1" ht="47.25" customHeight="1" x14ac:dyDescent="0.25">
      <c r="A31" s="23" t="s">
        <v>212</v>
      </c>
      <c r="B31" s="23"/>
      <c r="C31" s="23"/>
      <c r="D31" s="23"/>
      <c r="E31" s="23"/>
      <c r="F31" s="23"/>
      <c r="G31" s="23"/>
    </row>
    <row r="32" spans="1:7" s="22" customFormat="1" ht="47.25" customHeight="1" x14ac:dyDescent="0.25">
      <c r="A32" s="61" t="s">
        <v>213</v>
      </c>
      <c r="B32" s="61"/>
      <c r="C32" s="61"/>
      <c r="D32" s="61"/>
      <c r="E32" s="61"/>
      <c r="F32" s="61"/>
      <c r="G32" s="61"/>
    </row>
    <row r="33" spans="1:7" s="22" customFormat="1" ht="47.25" customHeight="1" x14ac:dyDescent="0.25">
      <c r="A33" s="61" t="s">
        <v>214</v>
      </c>
      <c r="B33" s="61"/>
      <c r="C33" s="61"/>
      <c r="D33" s="61"/>
      <c r="E33" s="61"/>
      <c r="F33" s="61"/>
      <c r="G33" s="61"/>
    </row>
    <row r="34" spans="1:7" ht="27" customHeight="1" x14ac:dyDescent="0.25"/>
    <row r="35" spans="1:7" ht="21.75" customHeight="1" x14ac:dyDescent="0.25">
      <c r="A35" s="24" t="s">
        <v>125</v>
      </c>
      <c r="B35" s="24"/>
      <c r="C35" s="24"/>
      <c r="D35" s="24"/>
      <c r="E35" s="24"/>
      <c r="F35" s="24"/>
      <c r="G35" s="25"/>
    </row>
    <row r="36" spans="1:7" ht="27.75" customHeight="1" x14ac:dyDescent="0.25">
      <c r="A36" s="5" t="s">
        <v>126</v>
      </c>
      <c r="B36" s="5" t="s">
        <v>127</v>
      </c>
      <c r="C36" s="5" t="s">
        <v>128</v>
      </c>
      <c r="D36" s="5" t="s">
        <v>129</v>
      </c>
      <c r="E36" s="5" t="s">
        <v>130</v>
      </c>
      <c r="F36" s="5" t="s">
        <v>131</v>
      </c>
      <c r="G36" s="5" t="s">
        <v>132</v>
      </c>
    </row>
    <row r="37" spans="1:7" ht="36.75" customHeight="1" x14ac:dyDescent="0.25">
      <c r="A37" s="9" t="str">
        <f>'📦 PRODUCT INPUTS'!B4</f>
        <v>Plastic Housing Component</v>
      </c>
      <c r="B37" s="14">
        <f>'📦 PRODUCT INPUTS'!D4</f>
        <v>48</v>
      </c>
      <c r="C37" s="14">
        <f>D6</f>
        <v>72</v>
      </c>
      <c r="D37" s="16">
        <f>IF(D6&lt;='📦 PRODUCT INPUTS'!D4,"⚠ UNVIABLE",IFERROR(ROUNDUP(B6/(D6-'📦 PRODUCT INPUTS'!D4),0),"⚠ N/A"))</f>
        <v>3542</v>
      </c>
      <c r="E37" s="14">
        <f>'📦 PRODUCT INPUTS'!G4</f>
        <v>4500</v>
      </c>
      <c r="F37" s="26">
        <f>IFERROR(('📦 PRODUCT INPUTS'!G4-D37)/D37,0)</f>
        <v>0.2704686617730096</v>
      </c>
      <c r="G37" s="9" t="str">
        <f>IF(D6&lt;='📦 PRODUCT INPUTS'!D4,"🔴 UNVIABLE — Buy price does not exceed Make variable cost",IF(NOT(ISNUMBER(D37)),"⚠ Check inputs",IF('📦 PRODUCT INPUTS'!G4&lt;D37,"🔴 BUY — "&amp;TEXT(ROUND((D37-'📦 PRODUCT INPUTS'!G4)/D37*100,0),"0")&amp;"% more volume needed to justify Make",IF('📦 PRODUCT INPUTS'!G4&lt;=D37*(1+'⚙ SETUP'!B12),"🟡 MAKE — volume within "&amp;TEXT('⚙ SETUP'!B12,"0%")&amp;" safety margin (increase volume)",IF(G7&lt;'⚙ SETUP'!B11,"🟡 MAKE (cost) — but annual saving Rs."&amp;TEXT(G7,"#,##0")&amp;" below Rs."&amp;TEXT('⚙ SETUP'!B11,"#,##0")&amp;" threshold","🟢 MAKE — "&amp;TEXT(ROUND(F37*100,0),"0")&amp;"% above crossover · saving Rs."&amp;TEXT(G7,"#,##0")&amp;"/yr")))))</f>
        <v>🟡 MAKE (cost) — but annual saving Rs.276,000 below Rs.500,000 threshold</v>
      </c>
    </row>
    <row r="38" spans="1:7" ht="29.25" customHeight="1" x14ac:dyDescent="0.25">
      <c r="A38" s="9" t="str">
        <f>'📦 PRODUCT INPUTS'!B5</f>
        <v>Electronic Sub-Assembly</v>
      </c>
      <c r="B38" s="14">
        <f>'📦 PRODUCT INPUTS'!D5</f>
        <v>280</v>
      </c>
      <c r="C38" s="14">
        <f>D9</f>
        <v>320</v>
      </c>
      <c r="D38" s="16">
        <f>IF(D9&lt;='📦 PRODUCT INPUTS'!D5,"⚠ UNVIABLE",IFERROR(ROUNDUP(B9/(D9-'📦 PRODUCT INPUTS'!D5),0),"⚠ N/A"))</f>
        <v>4500</v>
      </c>
      <c r="E38" s="14">
        <f>'📦 PRODUCT INPUTS'!G5</f>
        <v>800</v>
      </c>
      <c r="F38" s="26">
        <f>IFERROR(('📦 PRODUCT INPUTS'!G5-D38)/D38,0)</f>
        <v>-0.82222222222222219</v>
      </c>
      <c r="G38" s="9" t="str">
        <f>IF(D9&lt;='📦 PRODUCT INPUTS'!D5,"🔴 UNVIABLE — Buy price does not exceed Make variable cost",IF(NOT(ISNUMBER(D38)),"⚠ Check inputs",IF('📦 PRODUCT INPUTS'!G5&lt;D38,"🔴 BUY — "&amp;TEXT(ROUND((D38-'📦 PRODUCT INPUTS'!G5)/D38*100,0),"0")&amp;"% more volume needed to justify Make",IF('📦 PRODUCT INPUTS'!G5&lt;=D38*(1+'⚙ SETUP'!B12),"🟡 MAKE — volume within "&amp;TEXT('⚙ SETUP'!B12,"0%")&amp;" safety margin (increase volume)",IF(G10&lt;'⚙ SETUP'!B11,"🟡 MAKE (cost) — but annual saving Rs."&amp;TEXT(G10,"#,##0")&amp;" below Rs."&amp;TEXT('⚙ SETUP'!B11,"#,##0")&amp;" threshold","🟢 MAKE — "&amp;TEXT(ROUND(F38*100,0),"0")&amp;"% above crossover · saving Rs."&amp;TEXT(G10,"#,##0")&amp;"/yr")))))</f>
        <v>🔴 BUY — 82% more volume needed to justify Make</v>
      </c>
    </row>
    <row r="39" spans="1:7" ht="30.75" customHeight="1" x14ac:dyDescent="0.25">
      <c r="A39" s="9" t="str">
        <f>'📦 PRODUCT INPUTS'!B6</f>
        <v>Packaging Material</v>
      </c>
      <c r="B39" s="14">
        <f>'📦 PRODUCT INPUTS'!D6</f>
        <v>12</v>
      </c>
      <c r="C39" s="14">
        <f>D12</f>
        <v>15</v>
      </c>
      <c r="D39" s="16">
        <f>IF(D12&lt;='📦 PRODUCT INPUTS'!D6,"⚠ UNVIABLE",IFERROR(ROUNDUP(B12/(D12-'📦 PRODUCT INPUTS'!D6),0),"⚠ N/A"))</f>
        <v>11667</v>
      </c>
      <c r="E39" s="14">
        <f>'📦 PRODUCT INPUTS'!G6</f>
        <v>18000</v>
      </c>
      <c r="F39" s="26">
        <f>IFERROR(('📦 PRODUCT INPUTS'!G6-D39)/D39,0)</f>
        <v>0.54281306248392902</v>
      </c>
      <c r="G39" s="9" t="str">
        <f>IF(D12&lt;='📦 PRODUCT INPUTS'!D6,"🔴 UNVIABLE — Buy price does not exceed Make variable cost",IF(NOT(ISNUMBER(D39)),"⚠ Check inputs",IF('📦 PRODUCT INPUTS'!G6&lt;D39,"🔴 BUY — "&amp;TEXT(ROUND((D39-'📦 PRODUCT INPUTS'!G6)/D39*100,0),"0")&amp;"% more volume needed to justify Make",IF('📦 PRODUCT INPUTS'!G6&lt;=D39*(1+'⚙ SETUP'!B12),"🟡 MAKE — volume within "&amp;TEXT('⚙ SETUP'!B12,"0%")&amp;" safety margin (increase volume)",IF(G13&lt;'⚙ SETUP'!B11,"🟡 MAKE (cost) — but annual saving Rs."&amp;TEXT(G13,"#,##0")&amp;" below Rs."&amp;TEXT('⚙ SETUP'!B11,"#,##0")&amp;" threshold","🟢 MAKE — "&amp;TEXT(ROUND(F39*100,0),"0")&amp;"% above crossover · saving Rs."&amp;TEXT(G13,"#,##0")&amp;"/yr")))))</f>
        <v>🟡 MAKE (cost) — but annual saving Rs.228,000 below Rs.500,000 threshold</v>
      </c>
    </row>
    <row r="40" spans="1:7" ht="30" customHeight="1" x14ac:dyDescent="0.25">
      <c r="A40" s="9" t="str">
        <f>'📦 PRODUCT INPUTS'!B7</f>
        <v>Metal Bracket</v>
      </c>
      <c r="B40" s="14">
        <f>'📦 PRODUCT INPUTS'!D7</f>
        <v>35</v>
      </c>
      <c r="C40" s="14">
        <f>D15</f>
        <v>55</v>
      </c>
      <c r="D40" s="16">
        <f>IF(D15&lt;='📦 PRODUCT INPUTS'!D7,"⚠ UNVIABLE",IFERROR(ROUNDUP(B15/(D15-'📦 PRODUCT INPUTS'!D7),0),"⚠ N/A"))</f>
        <v>2750</v>
      </c>
      <c r="E40" s="14">
        <f>'📦 PRODUCT INPUTS'!G7</f>
        <v>3200</v>
      </c>
      <c r="F40" s="26">
        <f>IFERROR(('📦 PRODUCT INPUTS'!G7-D40)/D40,0)</f>
        <v>0.16363636363636364</v>
      </c>
      <c r="G40" s="9" t="str">
        <f>IF(D15&lt;='📦 PRODUCT INPUTS'!D7,"🔴 UNVIABLE — Buy price does not exceed Make variable cost",IF(NOT(ISNUMBER(D40)),"⚠ Check inputs",IF('📦 PRODUCT INPUTS'!G7&lt;D40,"🔴 BUY — "&amp;TEXT(ROUND((D40-'📦 PRODUCT INPUTS'!G7)/D40*100,0),"0")&amp;"% more volume needed to justify Make",IF('📦 PRODUCT INPUTS'!G7&lt;=D40*(1+'⚙ SETUP'!B12),"🟡 MAKE — volume within "&amp;TEXT('⚙ SETUP'!B12,"0%")&amp;" safety margin (increase volume)",IF(G16&lt;'⚙ SETUP'!B11,"🟡 MAKE (cost) — but annual saving Rs."&amp;TEXT(G16,"#,##0")&amp;" below Rs."&amp;TEXT('⚙ SETUP'!B11,"#,##0")&amp;" threshold","🟢 MAKE — "&amp;TEXT(ROUND(F40*100,0),"0")&amp;"% above crossover · saving Rs."&amp;TEXT(G16,"#,##0")&amp;"/yr")))))</f>
        <v>🟡 MAKE — volume within 20% safety margin (increase volume)</v>
      </c>
    </row>
    <row r="41" spans="1:7" ht="31.5" customHeight="1" x14ac:dyDescent="0.25">
      <c r="A41" s="9" t="str">
        <f>'📦 PRODUCT INPUTS'!B8</f>
        <v>Rubber Gasket</v>
      </c>
      <c r="B41" s="14">
        <f>'📦 PRODUCT INPUTS'!D8</f>
        <v>14</v>
      </c>
      <c r="C41" s="14">
        <f>D18</f>
        <v>20</v>
      </c>
      <c r="D41" s="16">
        <f>IF(D18&lt;='📦 PRODUCT INPUTS'!D8,"⚠ UNVIABLE",IFERROR(ROUNDUP(B18/(D18-'📦 PRODUCT INPUTS'!D8),0),"⚠ N/A"))</f>
        <v>7000</v>
      </c>
      <c r="E41" s="14">
        <f>'📦 PRODUCT INPUTS'!G8</f>
        <v>7500</v>
      </c>
      <c r="F41" s="26">
        <f>IFERROR(('📦 PRODUCT INPUTS'!G8-D41)/D41,0)</f>
        <v>7.1428571428571425E-2</v>
      </c>
      <c r="G41" s="9" t="str">
        <f>IF(D18&lt;='📦 PRODUCT INPUTS'!D8,"🔴 UNVIABLE — Buy price does not exceed Make variable cost",IF(NOT(ISNUMBER(D41)),"⚠ Check inputs",IF('📦 PRODUCT INPUTS'!G8&lt;D41,"🔴 BUY — "&amp;TEXT(ROUND((D41-'📦 PRODUCT INPUTS'!G8)/D41*100,0),"0")&amp;"% more volume needed to justify Make",IF('📦 PRODUCT INPUTS'!G8&lt;=D41*(1+'⚙ SETUP'!B12),"🟡 MAKE — volume within "&amp;TEXT('⚙ SETUP'!B12,"0%")&amp;" safety margin (increase volume)",IF(G19&lt;'⚙ SETUP'!B11,"🟡 MAKE (cost) — but annual saving Rs."&amp;TEXT(G19,"#,##0")&amp;" below Rs."&amp;TEXT('⚙ SETUP'!B11,"#,##0")&amp;" threshold","🟢 MAKE — "&amp;TEXT(ROUND(F41*100,0),"0")&amp;"% above crossover · saving Rs."&amp;TEXT(G19,"#,##0")&amp;"/yr")))))</f>
        <v>🟡 MAKE — volume within 20% safety margin (increase volume)</v>
      </c>
    </row>
    <row r="42" spans="1:7" ht="30.75" customHeight="1" x14ac:dyDescent="0.25">
      <c r="A42" s="9" t="str">
        <f>'📦 PRODUCT INPUTS'!B9</f>
        <v>PCB Module</v>
      </c>
      <c r="B42" s="14">
        <f>'📦 PRODUCT INPUTS'!D9</f>
        <v>340</v>
      </c>
      <c r="C42" s="14">
        <f>D21</f>
        <v>390</v>
      </c>
      <c r="D42" s="16">
        <f>IF(D21&lt;='📦 PRODUCT INPUTS'!D9,"⚠ UNVIABLE",IFERROR(ROUNDUP(B21/(D21-'📦 PRODUCT INPUTS'!D9),0),"⚠ N/A"))</f>
        <v>4400</v>
      </c>
      <c r="E42" s="14">
        <f>'📦 PRODUCT INPUTS'!G9</f>
        <v>600</v>
      </c>
      <c r="F42" s="26">
        <f>IFERROR(('📦 PRODUCT INPUTS'!G9-D42)/D42,0)</f>
        <v>-0.86363636363636365</v>
      </c>
      <c r="G42" s="9" t="str">
        <f>IF(D21&lt;='📦 PRODUCT INPUTS'!D9,"🔴 UNVIABLE — Buy price does not exceed Make variable cost",IF(NOT(ISNUMBER(D42)),"⚠ Check inputs",IF('📦 PRODUCT INPUTS'!G9&lt;D42,"🔴 BUY — "&amp;TEXT(ROUND((D42-'📦 PRODUCT INPUTS'!G9)/D42*100,0),"0")&amp;"% more volume needed to justify Make",IF('📦 PRODUCT INPUTS'!G9&lt;=D42*(1+'⚙ SETUP'!B12),"🟡 MAKE — volume within "&amp;TEXT('⚙ SETUP'!B12,"0%")&amp;" safety margin (increase volume)",IF(G22&lt;'⚙ SETUP'!B11,"🟡 MAKE (cost) — but annual saving Rs."&amp;TEXT(G22,"#,##0")&amp;" below Rs."&amp;TEXT('⚙ SETUP'!B11,"#,##0")&amp;" threshold","🟢 MAKE — "&amp;TEXT(ROUND(F42*100,0),"0")&amp;"% above crossover · saving Rs."&amp;TEXT(G22,"#,##0")&amp;"/yr")))))</f>
        <v>🔴 BUY — 86% more volume needed to justify Make</v>
      </c>
    </row>
    <row r="43" spans="1:7" ht="28.5" customHeight="1" x14ac:dyDescent="0.25">
      <c r="A43" s="9" t="str">
        <f>'📦 PRODUCT INPUTS'!B10</f>
        <v>Cardboard Box (custom)</v>
      </c>
      <c r="B43" s="14">
        <f>'📦 PRODUCT INPUTS'!D10</f>
        <v>10</v>
      </c>
      <c r="C43" s="14">
        <f>D24</f>
        <v>18</v>
      </c>
      <c r="D43" s="16">
        <f>IF(D24&lt;='📦 PRODUCT INPUTS'!D10,"⚠ UNVIABLE",IFERROR(ROUNDUP(B24/(D24-'📦 PRODUCT INPUTS'!D10),0),"⚠ N/A"))</f>
        <v>3750</v>
      </c>
      <c r="E43" s="14">
        <f>'📦 PRODUCT INPUTS'!G10</f>
        <v>12000</v>
      </c>
      <c r="F43" s="26">
        <f>IFERROR(('📦 PRODUCT INPUTS'!G10-D43)/D43,0)</f>
        <v>2.2000000000000002</v>
      </c>
      <c r="G43" s="9" t="str">
        <f>IF(D24&lt;='📦 PRODUCT INPUTS'!D10,"🔴 UNVIABLE — Buy price does not exceed Make variable cost",IF(NOT(ISNUMBER(D43)),"⚠ Check inputs",IF('📦 PRODUCT INPUTS'!G10&lt;D43,"🔴 BUY — "&amp;TEXT(ROUND((D43-'📦 PRODUCT INPUTS'!G10)/D43*100,0),"0")&amp;"% more volume needed to justify Make",IF('📦 PRODUCT INPUTS'!G10&lt;=D43*(1+'⚙ SETUP'!B12),"🟡 MAKE — volume within "&amp;TEXT('⚙ SETUP'!B12,"0%")&amp;" safety margin (increase volume)",IF(G25&lt;'⚙ SETUP'!B11,"🟡 MAKE (cost) — but annual saving Rs."&amp;TEXT(G25,"#,##0")&amp;" below Rs."&amp;TEXT('⚙ SETUP'!B11,"#,##0")&amp;" threshold","🟢 MAKE — "&amp;TEXT(ROUND(F43*100,0),"0")&amp;"% above crossover · saving Rs."&amp;TEXT(G25,"#,##0")&amp;"/yr")))))</f>
        <v>🟢 MAKE — 220% above crossover · saving Rs.792,000/yr</v>
      </c>
    </row>
    <row r="44" spans="1:7" ht="27" customHeight="1" x14ac:dyDescent="0.25">
      <c r="A44" s="9" t="str">
        <f>'📦 PRODUCT INPUTS'!B11</f>
        <v>Wiring Harness</v>
      </c>
      <c r="B44" s="14">
        <f>'📦 PRODUCT INPUTS'!D11</f>
        <v>145</v>
      </c>
      <c r="C44" s="14">
        <f>D27</f>
        <v>185</v>
      </c>
      <c r="D44" s="16">
        <f>IF(D27&lt;='📦 PRODUCT INPUTS'!D11,"⚠ UNVIABLE",IFERROR(ROUNDUP(B27/(D27-'📦 PRODUCT INPUTS'!D11),0),"⚠ N/A"))</f>
        <v>3000</v>
      </c>
      <c r="E44" s="14">
        <f>'📦 PRODUCT INPUTS'!G11</f>
        <v>1500</v>
      </c>
      <c r="F44" s="26">
        <f>IFERROR(('📦 PRODUCT INPUTS'!G11-D44)/D44,0)</f>
        <v>-0.5</v>
      </c>
      <c r="G44" s="9" t="str">
        <f>IF(D27&lt;='📦 PRODUCT INPUTS'!D11,"🔴 UNVIABLE — Buy price does not exceed Make variable cost",IF(NOT(ISNUMBER(D44)),"⚠ Check inputs",IF('📦 PRODUCT INPUTS'!G11&lt;D44,"🔴 BUY — "&amp;TEXT(ROUND((D44-'📦 PRODUCT INPUTS'!G11)/D44*100,0),"0")&amp;"% more volume needed to justify Make",IF('📦 PRODUCT INPUTS'!G11&lt;=D44*(1+'⚙ SETUP'!B12),"🟡 MAKE — volume within "&amp;TEXT('⚙ SETUP'!B12,"0%")&amp;" safety margin (increase volume)",IF(G28&lt;'⚙ SETUP'!B11,"🟡 MAKE (cost) — but annual saving Rs."&amp;TEXT(G28,"#,##0")&amp;" below Rs."&amp;TEXT('⚙ SETUP'!B11,"#,##0")&amp;" threshold","🟢 MAKE — "&amp;TEXT(ROUND(F44*100,0),"0")&amp;"% above crossover · saving Rs."&amp;TEXT(G28,"#,##0")&amp;"/yr")))))</f>
        <v>🔴 BUY — 50% more volume needed to justify Make</v>
      </c>
    </row>
    <row r="45" spans="1:7" s="42" customFormat="1" ht="9" customHeight="1" x14ac:dyDescent="0.25">
      <c r="A45" s="62"/>
      <c r="B45" s="63"/>
      <c r="C45" s="63"/>
      <c r="D45" s="64"/>
      <c r="E45" s="63"/>
      <c r="F45" s="65"/>
      <c r="G45" s="62"/>
    </row>
    <row r="46" spans="1:7" ht="48" customHeight="1" x14ac:dyDescent="0.25">
      <c r="A46" s="29" t="s">
        <v>215</v>
      </c>
      <c r="B46" s="29"/>
      <c r="C46" s="29"/>
      <c r="D46" s="29"/>
      <c r="E46" s="29"/>
      <c r="F46" s="29"/>
      <c r="G46" s="29"/>
    </row>
    <row r="47" spans="1:7" ht="42.75" customHeight="1" x14ac:dyDescent="0.25">
      <c r="A47" s="58" t="s">
        <v>216</v>
      </c>
      <c r="B47" s="58"/>
      <c r="C47" s="58"/>
      <c r="D47" s="58"/>
      <c r="E47" s="58"/>
      <c r="F47" s="58"/>
      <c r="G47" s="58"/>
    </row>
    <row r="49" spans="1:6" ht="21.75" customHeight="1" x14ac:dyDescent="0.25">
      <c r="A49" s="30" t="s">
        <v>133</v>
      </c>
      <c r="B49" s="30"/>
      <c r="C49" s="30"/>
      <c r="D49" s="30"/>
      <c r="E49" s="30"/>
      <c r="F49" s="30"/>
    </row>
    <row r="50" spans="1:6" ht="25.5" customHeight="1" x14ac:dyDescent="0.25">
      <c r="A50" s="5" t="s">
        <v>134</v>
      </c>
      <c r="B50" s="5" t="s">
        <v>135</v>
      </c>
      <c r="C50" s="5" t="s">
        <v>136</v>
      </c>
      <c r="D50" s="5" t="s">
        <v>137</v>
      </c>
      <c r="E50" s="5"/>
      <c r="F50" s="5" t="s">
        <v>138</v>
      </c>
    </row>
    <row r="51" spans="1:6" ht="31.5" customHeight="1" x14ac:dyDescent="0.25">
      <c r="A51" s="9" t="s">
        <v>139</v>
      </c>
      <c r="B51" s="31">
        <v>0.25</v>
      </c>
      <c r="C51" s="32">
        <v>4</v>
      </c>
      <c r="D51" s="33">
        <f t="shared" ref="D51:D56" si="0">B51*C51</f>
        <v>1</v>
      </c>
      <c r="E51" s="34"/>
      <c r="F51" s="35" t="s">
        <v>140</v>
      </c>
    </row>
    <row r="52" spans="1:6" ht="24.75" customHeight="1" x14ac:dyDescent="0.25">
      <c r="A52" s="9" t="s">
        <v>141</v>
      </c>
      <c r="B52" s="31">
        <v>0.2</v>
      </c>
      <c r="C52" s="32">
        <v>3</v>
      </c>
      <c r="D52" s="33">
        <f t="shared" si="0"/>
        <v>0.60000000000000009</v>
      </c>
      <c r="E52" s="34"/>
      <c r="F52" s="35" t="s">
        <v>142</v>
      </c>
    </row>
    <row r="53" spans="1:6" ht="29.25" customHeight="1" x14ac:dyDescent="0.25">
      <c r="A53" s="9" t="s">
        <v>143</v>
      </c>
      <c r="B53" s="31">
        <v>0.2</v>
      </c>
      <c r="C53" s="32">
        <v>4</v>
      </c>
      <c r="D53" s="33">
        <f t="shared" si="0"/>
        <v>0.8</v>
      </c>
      <c r="E53" s="34"/>
      <c r="F53" s="35" t="s">
        <v>144</v>
      </c>
    </row>
    <row r="54" spans="1:6" ht="30" customHeight="1" x14ac:dyDescent="0.25">
      <c r="A54" s="9" t="s">
        <v>145</v>
      </c>
      <c r="B54" s="31">
        <v>0.15</v>
      </c>
      <c r="C54" s="32">
        <v>3</v>
      </c>
      <c r="D54" s="33">
        <f t="shared" si="0"/>
        <v>0.44999999999999996</v>
      </c>
      <c r="E54" s="34"/>
      <c r="F54" s="35" t="s">
        <v>146</v>
      </c>
    </row>
    <row r="55" spans="1:6" ht="27.75" customHeight="1" x14ac:dyDescent="0.25">
      <c r="A55" s="9" t="s">
        <v>147</v>
      </c>
      <c r="B55" s="31">
        <v>0.15</v>
      </c>
      <c r="C55" s="32">
        <v>4</v>
      </c>
      <c r="D55" s="33">
        <f t="shared" si="0"/>
        <v>0.6</v>
      </c>
      <c r="E55" s="34"/>
      <c r="F55" s="35" t="s">
        <v>148</v>
      </c>
    </row>
    <row r="56" spans="1:6" ht="33.75" customHeight="1" x14ac:dyDescent="0.25">
      <c r="A56" s="9" t="s">
        <v>149</v>
      </c>
      <c r="B56" s="31">
        <v>0.05</v>
      </c>
      <c r="C56" s="32">
        <v>2</v>
      </c>
      <c r="D56" s="33">
        <f t="shared" si="0"/>
        <v>0.1</v>
      </c>
      <c r="E56" s="34"/>
      <c r="F56" s="35" t="s">
        <v>150</v>
      </c>
    </row>
    <row r="57" spans="1:6" ht="24" customHeight="1" x14ac:dyDescent="0.25">
      <c r="A57" s="36" t="s">
        <v>151</v>
      </c>
      <c r="B57" s="37">
        <f>SUM(B51:B56)</f>
        <v>1</v>
      </c>
      <c r="C57" s="38"/>
      <c r="D57" s="39">
        <f>SUM(D51:D56)</f>
        <v>3.5500000000000007</v>
      </c>
      <c r="E57" s="38"/>
      <c r="F57" s="40" t="str">
        <f>IF(D57&gt;=3.5,"🟢 Qualitative factors favour Make",IF(D57&gt;=2.5,"🟡 Qualitative factors are neutral","🔴 Qualitative factors favour Buy"))</f>
        <v>🟢 Qualitative factors favour Make</v>
      </c>
    </row>
    <row r="58" spans="1:6" s="42" customFormat="1" ht="54" customHeight="1" x14ac:dyDescent="0.25">
      <c r="A58" s="41" t="s">
        <v>218</v>
      </c>
      <c r="B58" s="41"/>
      <c r="C58" s="41"/>
      <c r="D58" s="41"/>
      <c r="E58" s="41"/>
      <c r="F58" s="41"/>
    </row>
    <row r="60" spans="1:6" ht="21.75" customHeight="1" x14ac:dyDescent="0.25">
      <c r="A60" s="43" t="s">
        <v>152</v>
      </c>
      <c r="B60" s="43"/>
      <c r="C60" s="43"/>
      <c r="D60" s="43"/>
      <c r="E60" s="43"/>
      <c r="F60" s="43"/>
    </row>
    <row r="61" spans="1:6" ht="21.75" customHeight="1" x14ac:dyDescent="0.25">
      <c r="A61" s="5" t="s">
        <v>153</v>
      </c>
      <c r="B61" s="5" t="s">
        <v>45</v>
      </c>
      <c r="C61" s="5"/>
      <c r="D61" s="5"/>
      <c r="E61" s="5"/>
      <c r="F61" s="5" t="s">
        <v>46</v>
      </c>
    </row>
    <row r="62" spans="1:6" ht="19.5" customHeight="1" x14ac:dyDescent="0.25">
      <c r="A62" s="9" t="s">
        <v>154</v>
      </c>
      <c r="B62" s="16">
        <f>MAX(0,C7-B7)+MAX(0,C10-B10)+MAX(0,C13-B13)+MAX(0,C16-B16)+MAX(0,C19-B19)+MAX(0,C22-B22)+MAX(0,C25-B25)+MAX(0,C28-B28)</f>
        <v>120000</v>
      </c>
      <c r="C62" s="34"/>
      <c r="D62" s="34"/>
      <c r="E62" s="34"/>
      <c r="F62" s="34"/>
    </row>
    <row r="63" spans="1:6" ht="19.5" customHeight="1" x14ac:dyDescent="0.25">
      <c r="A63" s="9" t="s">
        <v>155</v>
      </c>
      <c r="B63" s="16">
        <f>B62*12</f>
        <v>1440000</v>
      </c>
      <c r="C63" s="34"/>
      <c r="D63" s="34"/>
      <c r="E63" s="34"/>
      <c r="F63" s="34"/>
    </row>
    <row r="64" spans="1:6" ht="74.25" customHeight="1" x14ac:dyDescent="0.25">
      <c r="A64" s="9" t="s">
        <v>156</v>
      </c>
      <c r="B64" s="16">
        <f>B63*(1-'⚙ SETUP'!B5)</f>
        <v>1077552</v>
      </c>
      <c r="C64" s="44" t="s">
        <v>157</v>
      </c>
      <c r="D64" s="34"/>
      <c r="E64" s="34"/>
      <c r="F64" s="34"/>
    </row>
    <row r="65" spans="1:6" ht="19.5" customHeight="1" x14ac:dyDescent="0.25">
      <c r="A65" s="9" t="s">
        <v>158</v>
      </c>
      <c r="B65" s="16">
        <f>COUNTIF(F7:F28,"*MAKE*")</f>
        <v>5</v>
      </c>
      <c r="C65" s="34"/>
      <c r="D65" s="34"/>
      <c r="E65" s="34"/>
      <c r="F65" s="34"/>
    </row>
    <row r="66" spans="1:6" ht="19.5" customHeight="1" x14ac:dyDescent="0.25">
      <c r="A66" s="9" t="s">
        <v>159</v>
      </c>
      <c r="B66" s="16">
        <f>COUNTIF(F7:F28,"*BUY*")</f>
        <v>3</v>
      </c>
      <c r="C66" s="34"/>
      <c r="D66" s="34"/>
      <c r="E66" s="34"/>
      <c r="F66" s="34"/>
    </row>
    <row r="67" spans="1:6" ht="19.5" customHeight="1" x14ac:dyDescent="0.25">
      <c r="A67" s="27"/>
      <c r="B67" s="28"/>
      <c r="C67" s="45"/>
      <c r="D67" s="45"/>
      <c r="E67" s="45"/>
      <c r="F67" s="45"/>
    </row>
    <row r="68" spans="1:6" ht="49.5" customHeight="1" x14ac:dyDescent="0.25">
      <c r="A68" s="57" t="s">
        <v>224</v>
      </c>
      <c r="B68" s="57"/>
      <c r="C68" s="57"/>
      <c r="D68" s="57"/>
      <c r="E68" s="57"/>
      <c r="F68" s="57"/>
    </row>
    <row r="70" spans="1:6" ht="21.75" customHeight="1" x14ac:dyDescent="0.25">
      <c r="A70" s="1" t="s">
        <v>160</v>
      </c>
      <c r="B70" s="1"/>
      <c r="C70" s="1"/>
      <c r="D70" s="1"/>
      <c r="E70" s="1"/>
      <c r="F70" s="1"/>
    </row>
    <row r="71" spans="1:6" ht="27.75" customHeight="1" x14ac:dyDescent="0.25">
      <c r="A71" s="56" t="str">
        <f>IFERROR("Make "&amp;TEXT(B65,"0")&amp;" of 8 in-house, Buy "&amp;TEXT(B66,"0")&amp;" from vendor. After-tax saving: Rs."&amp;TEXT(B64,"#,##0")&amp;". Qual score "&amp;TEXT(D57,"0.00")&amp;"/5.0","")</f>
        <v>Make 5 of 8 in-house, Buy 3 from vendor. After-tax saving: Rs.1,077,552. Qual score 3.55/5.0</v>
      </c>
      <c r="B71" s="56"/>
      <c r="C71" s="56"/>
      <c r="D71" s="56"/>
      <c r="E71" s="56"/>
      <c r="F71" s="56"/>
    </row>
    <row r="73" spans="1:6" ht="62.25" customHeight="1" x14ac:dyDescent="0.25">
      <c r="A73" s="46" t="s">
        <v>219</v>
      </c>
      <c r="B73" s="46"/>
      <c r="C73" s="46"/>
      <c r="D73" s="46"/>
      <c r="E73" s="46"/>
      <c r="F73" s="46"/>
    </row>
    <row r="74" spans="1:6" ht="1.5" customHeight="1" x14ac:dyDescent="0.25"/>
    <row r="75" spans="1:6" ht="49.5" customHeight="1" x14ac:dyDescent="0.25">
      <c r="A75" s="46" t="s">
        <v>223</v>
      </c>
      <c r="B75" s="46"/>
      <c r="C75" s="46"/>
      <c r="D75" s="46"/>
      <c r="E75" s="46"/>
      <c r="F75" s="46"/>
    </row>
  </sheetData>
  <mergeCells count="26">
    <mergeCell ref="A75:F75"/>
    <mergeCell ref="A1:G1"/>
    <mergeCell ref="A3:G3"/>
    <mergeCell ref="A32:G32"/>
    <mergeCell ref="A33:G33"/>
    <mergeCell ref="A71:F71"/>
    <mergeCell ref="A73:F73"/>
    <mergeCell ref="A58:F58"/>
    <mergeCell ref="A30:G30"/>
    <mergeCell ref="A31:G31"/>
    <mergeCell ref="A46:G46"/>
    <mergeCell ref="A47:G47"/>
    <mergeCell ref="A68:F68"/>
    <mergeCell ref="A26:F26"/>
    <mergeCell ref="A35:F35"/>
    <mergeCell ref="A49:F49"/>
    <mergeCell ref="A60:F60"/>
    <mergeCell ref="A70:F70"/>
    <mergeCell ref="A11:F11"/>
    <mergeCell ref="A14:F14"/>
    <mergeCell ref="A17:F17"/>
    <mergeCell ref="A20:F20"/>
    <mergeCell ref="A23:F23"/>
    <mergeCell ref="A2:F2"/>
    <mergeCell ref="A5:F5"/>
    <mergeCell ref="A8:F8"/>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B4F72"/>
  </sheetPr>
  <dimension ref="A1:E114"/>
  <sheetViews>
    <sheetView zoomScaleNormal="100" workbookViewId="0">
      <pane ySplit="2" topLeftCell="A105" activePane="bottomLeft" state="frozen"/>
      <selection pane="bottomLeft" activeCell="A114" sqref="A114:E114"/>
    </sheetView>
  </sheetViews>
  <sheetFormatPr defaultColWidth="8.7109375" defaultRowHeight="15" x14ac:dyDescent="0.25"/>
  <cols>
    <col min="1" max="1" width="22" style="2" customWidth="1"/>
    <col min="2" max="4" width="16" style="2" customWidth="1"/>
    <col min="5" max="5" width="20" style="2" customWidth="1"/>
    <col min="6" max="16384" width="8.7109375" style="2"/>
  </cols>
  <sheetData>
    <row r="1" spans="1:5" ht="30" customHeight="1" x14ac:dyDescent="0.25">
      <c r="A1" s="1" t="s">
        <v>161</v>
      </c>
      <c r="B1" s="1"/>
      <c r="C1" s="1"/>
      <c r="D1" s="1"/>
      <c r="E1" s="1"/>
    </row>
    <row r="2" spans="1:5" ht="15" customHeight="1" x14ac:dyDescent="0.25">
      <c r="A2" s="3" t="s">
        <v>162</v>
      </c>
      <c r="B2" s="3"/>
      <c r="C2" s="3"/>
      <c r="D2" s="3"/>
      <c r="E2" s="3"/>
    </row>
    <row r="3" spans="1:5" ht="21.75" customHeight="1" x14ac:dyDescent="0.25">
      <c r="A3" s="30" t="s">
        <v>163</v>
      </c>
      <c r="B3" s="30"/>
      <c r="C3" s="30"/>
      <c r="D3" s="30"/>
      <c r="E3" s="30"/>
    </row>
    <row r="4" spans="1:5" ht="24" customHeight="1" x14ac:dyDescent="0.25">
      <c r="A4" s="5" t="s">
        <v>164</v>
      </c>
      <c r="B4" s="5" t="s">
        <v>165</v>
      </c>
      <c r="C4" s="5" t="s">
        <v>166</v>
      </c>
      <c r="D4" s="5" t="s">
        <v>167</v>
      </c>
      <c r="E4" s="5" t="s">
        <v>168</v>
      </c>
    </row>
    <row r="5" spans="1:5" ht="19.5" customHeight="1" x14ac:dyDescent="0.25">
      <c r="A5" s="14">
        <f>ROUND('📦 PRODUCT INPUTS'!G4*0.2,0)</f>
        <v>900</v>
      </c>
      <c r="B5" s="14">
        <f>IFERROR('📦 PRODUCT INPUTS'!D4*A5+'⚖ MAKE OR BUY'!B6,0)</f>
        <v>128200</v>
      </c>
      <c r="C5" s="14">
        <f>IFERROR('⚖ MAKE OR BUY'!D6*A5,0)</f>
        <v>64800</v>
      </c>
      <c r="D5" s="14">
        <f t="shared" ref="D5:D14" si="0">B5-C5</f>
        <v>63400</v>
      </c>
      <c r="E5" s="53" t="str">
        <f t="shared" ref="E5:E14" si="1">IF(B5&lt;C5,"🟢 Make cheaper","🔴 Buy cheaper")</f>
        <v>🔴 Buy cheaper</v>
      </c>
    </row>
    <row r="6" spans="1:5" ht="19.5" customHeight="1" x14ac:dyDescent="0.25">
      <c r="A6" s="14">
        <f>ROUND('📦 PRODUCT INPUTS'!G4*0.4,0)</f>
        <v>1800</v>
      </c>
      <c r="B6" s="14">
        <f>IFERROR('📦 PRODUCT INPUTS'!D4*A6+'⚖ MAKE OR BUY'!B6,0)</f>
        <v>171400</v>
      </c>
      <c r="C6" s="14">
        <f>IFERROR('⚖ MAKE OR BUY'!D6*A6,0)</f>
        <v>129600</v>
      </c>
      <c r="D6" s="14">
        <f t="shared" si="0"/>
        <v>41800</v>
      </c>
      <c r="E6" s="53" t="str">
        <f t="shared" si="1"/>
        <v>🔴 Buy cheaper</v>
      </c>
    </row>
    <row r="7" spans="1:5" ht="19.5" customHeight="1" x14ac:dyDescent="0.25">
      <c r="A7" s="14">
        <f>ROUND('📦 PRODUCT INPUTS'!G4*0.6,0)</f>
        <v>2700</v>
      </c>
      <c r="B7" s="14">
        <f>IFERROR('📦 PRODUCT INPUTS'!D4*A7+'⚖ MAKE OR BUY'!B6,0)</f>
        <v>214600</v>
      </c>
      <c r="C7" s="14">
        <f>IFERROR('⚖ MAKE OR BUY'!D6*A7,0)</f>
        <v>194400</v>
      </c>
      <c r="D7" s="14">
        <f t="shared" si="0"/>
        <v>20200</v>
      </c>
      <c r="E7" s="53" t="str">
        <f t="shared" si="1"/>
        <v>🔴 Buy cheaper</v>
      </c>
    </row>
    <row r="8" spans="1:5" ht="19.5" customHeight="1" x14ac:dyDescent="0.25">
      <c r="A8" s="14">
        <f>ROUND('📦 PRODUCT INPUTS'!G4*0.8,0)</f>
        <v>3600</v>
      </c>
      <c r="B8" s="14">
        <f>IFERROR('📦 PRODUCT INPUTS'!D4*A8+'⚖ MAKE OR BUY'!B6,0)</f>
        <v>257800</v>
      </c>
      <c r="C8" s="14">
        <f>IFERROR('⚖ MAKE OR BUY'!D6*A8,0)</f>
        <v>259200</v>
      </c>
      <c r="D8" s="14">
        <f t="shared" si="0"/>
        <v>-1400</v>
      </c>
      <c r="E8" s="53" t="str">
        <f t="shared" si="1"/>
        <v>🟢 Make cheaper</v>
      </c>
    </row>
    <row r="9" spans="1:5" ht="19.5" customHeight="1" x14ac:dyDescent="0.25">
      <c r="A9" s="13">
        <f>ROUND('📦 PRODUCT INPUTS'!G4*1,0)</f>
        <v>4500</v>
      </c>
      <c r="B9" s="13">
        <f>IFERROR('📦 PRODUCT INPUTS'!D4*A9+'⚖ MAKE OR BUY'!B6,0)</f>
        <v>301000</v>
      </c>
      <c r="C9" s="13">
        <f>IFERROR('⚖ MAKE OR BUY'!D6*A9,0)</f>
        <v>324000</v>
      </c>
      <c r="D9" s="13">
        <f t="shared" si="0"/>
        <v>-23000</v>
      </c>
      <c r="E9" s="54" t="str">
        <f t="shared" si="1"/>
        <v>🟢 Make cheaper</v>
      </c>
    </row>
    <row r="10" spans="1:5" ht="19.5" customHeight="1" x14ac:dyDescent="0.25">
      <c r="A10" s="14">
        <f>ROUND('📦 PRODUCT INPUTS'!G4*1.2,0)</f>
        <v>5400</v>
      </c>
      <c r="B10" s="14">
        <f>IFERROR('📦 PRODUCT INPUTS'!D4*A10+'⚖ MAKE OR BUY'!B6,0)</f>
        <v>344200</v>
      </c>
      <c r="C10" s="14">
        <f>IFERROR('⚖ MAKE OR BUY'!D6*A10,0)</f>
        <v>388800</v>
      </c>
      <c r="D10" s="14">
        <f t="shared" si="0"/>
        <v>-44600</v>
      </c>
      <c r="E10" s="53" t="str">
        <f t="shared" si="1"/>
        <v>🟢 Make cheaper</v>
      </c>
    </row>
    <row r="11" spans="1:5" ht="19.5" customHeight="1" x14ac:dyDescent="0.25">
      <c r="A11" s="14">
        <f>ROUND('📦 PRODUCT INPUTS'!G4*1.4,0)</f>
        <v>6300</v>
      </c>
      <c r="B11" s="14">
        <f>IFERROR('📦 PRODUCT INPUTS'!D4*A11+'⚖ MAKE OR BUY'!B6,0)</f>
        <v>387400</v>
      </c>
      <c r="C11" s="14">
        <f>IFERROR('⚖ MAKE OR BUY'!D6*A11,0)</f>
        <v>453600</v>
      </c>
      <c r="D11" s="14">
        <f t="shared" si="0"/>
        <v>-66200</v>
      </c>
      <c r="E11" s="53" t="str">
        <f t="shared" si="1"/>
        <v>🟢 Make cheaper</v>
      </c>
    </row>
    <row r="12" spans="1:5" ht="19.5" customHeight="1" x14ac:dyDescent="0.25">
      <c r="A12" s="14">
        <f>ROUND('📦 PRODUCT INPUTS'!G4*1.6,0)</f>
        <v>7200</v>
      </c>
      <c r="B12" s="14">
        <f>IFERROR('📦 PRODUCT INPUTS'!D4*A12+'⚖ MAKE OR BUY'!B6,0)</f>
        <v>430600</v>
      </c>
      <c r="C12" s="14">
        <f>IFERROR('⚖ MAKE OR BUY'!D6*A12,0)</f>
        <v>518400</v>
      </c>
      <c r="D12" s="14">
        <f t="shared" si="0"/>
        <v>-87800</v>
      </c>
      <c r="E12" s="53" t="str">
        <f t="shared" si="1"/>
        <v>🟢 Make cheaper</v>
      </c>
    </row>
    <row r="13" spans="1:5" ht="19.5" customHeight="1" x14ac:dyDescent="0.25">
      <c r="A13" s="14">
        <f>ROUND('📦 PRODUCT INPUTS'!G4*1.8,0)</f>
        <v>8100</v>
      </c>
      <c r="B13" s="14">
        <f>IFERROR('📦 PRODUCT INPUTS'!D4*A13+'⚖ MAKE OR BUY'!B6,0)</f>
        <v>473800</v>
      </c>
      <c r="C13" s="14">
        <f>IFERROR('⚖ MAKE OR BUY'!D6*A13,0)</f>
        <v>583200</v>
      </c>
      <c r="D13" s="14">
        <f t="shared" si="0"/>
        <v>-109400</v>
      </c>
      <c r="E13" s="53" t="str">
        <f t="shared" si="1"/>
        <v>🟢 Make cheaper</v>
      </c>
    </row>
    <row r="14" spans="1:5" ht="19.5" customHeight="1" x14ac:dyDescent="0.25">
      <c r="A14" s="14">
        <f>ROUND('📦 PRODUCT INPUTS'!G4*2,0)</f>
        <v>9000</v>
      </c>
      <c r="B14" s="14">
        <f>IFERROR('📦 PRODUCT INPUTS'!D4*A14+'⚖ MAKE OR BUY'!B6,0)</f>
        <v>517000</v>
      </c>
      <c r="C14" s="14">
        <f>IFERROR('⚖ MAKE OR BUY'!D6*A14,0)</f>
        <v>648000</v>
      </c>
      <c r="D14" s="14">
        <f t="shared" si="0"/>
        <v>-131000</v>
      </c>
      <c r="E14" s="53" t="str">
        <f t="shared" si="1"/>
        <v>🟢 Make cheaper</v>
      </c>
    </row>
    <row r="15" spans="1:5" ht="15" customHeight="1" x14ac:dyDescent="0.25">
      <c r="A15" s="55" t="s">
        <v>169</v>
      </c>
      <c r="B15" s="55"/>
      <c r="C15" s="55"/>
      <c r="D15" s="55"/>
      <c r="E15" s="55"/>
    </row>
    <row r="17" spans="1:5" ht="21.75" customHeight="1" x14ac:dyDescent="0.25">
      <c r="A17" s="30" t="s">
        <v>170</v>
      </c>
      <c r="B17" s="30"/>
      <c r="C17" s="30"/>
      <c r="D17" s="30"/>
      <c r="E17" s="30"/>
    </row>
    <row r="18" spans="1:5" ht="24" customHeight="1" x14ac:dyDescent="0.25">
      <c r="A18" s="5" t="s">
        <v>164</v>
      </c>
      <c r="B18" s="5" t="s">
        <v>165</v>
      </c>
      <c r="C18" s="5" t="s">
        <v>166</v>
      </c>
      <c r="D18" s="5" t="s">
        <v>167</v>
      </c>
      <c r="E18" s="5" t="s">
        <v>168</v>
      </c>
    </row>
    <row r="19" spans="1:5" ht="19.5" customHeight="1" x14ac:dyDescent="0.25">
      <c r="A19" s="14">
        <f>ROUND('📦 PRODUCT INPUTS'!G5*0.2,0)</f>
        <v>160</v>
      </c>
      <c r="B19" s="14">
        <f>IFERROR('📦 PRODUCT INPUTS'!D5*A19+'⚖ MAKE OR BUY'!B9,0)</f>
        <v>224800</v>
      </c>
      <c r="C19" s="14">
        <f>IFERROR('⚖ MAKE OR BUY'!D9*A19,0)</f>
        <v>51200</v>
      </c>
      <c r="D19" s="14">
        <f t="shared" ref="D19:D28" si="2">B19-C19</f>
        <v>173600</v>
      </c>
      <c r="E19" s="53" t="str">
        <f t="shared" ref="E19:E28" si="3">IF(B19&lt;C19,"🟢 Make cheaper","🔴 Buy cheaper")</f>
        <v>🔴 Buy cheaper</v>
      </c>
    </row>
    <row r="20" spans="1:5" ht="19.5" customHeight="1" x14ac:dyDescent="0.25">
      <c r="A20" s="14">
        <f>ROUND('📦 PRODUCT INPUTS'!G5*0.4,0)</f>
        <v>320</v>
      </c>
      <c r="B20" s="14">
        <f>IFERROR('📦 PRODUCT INPUTS'!D5*A20+'⚖ MAKE OR BUY'!B9,0)</f>
        <v>269600</v>
      </c>
      <c r="C20" s="14">
        <f>IFERROR('⚖ MAKE OR BUY'!D9*A20,0)</f>
        <v>102400</v>
      </c>
      <c r="D20" s="14">
        <f t="shared" si="2"/>
        <v>167200</v>
      </c>
      <c r="E20" s="53" t="str">
        <f t="shared" si="3"/>
        <v>🔴 Buy cheaper</v>
      </c>
    </row>
    <row r="21" spans="1:5" ht="19.5" customHeight="1" x14ac:dyDescent="0.25">
      <c r="A21" s="14">
        <f>ROUND('📦 PRODUCT INPUTS'!G5*0.6,0)</f>
        <v>480</v>
      </c>
      <c r="B21" s="14">
        <f>IFERROR('📦 PRODUCT INPUTS'!D5*A21+'⚖ MAKE OR BUY'!B9,0)</f>
        <v>314400</v>
      </c>
      <c r="C21" s="14">
        <f>IFERROR('⚖ MAKE OR BUY'!D9*A21,0)</f>
        <v>153600</v>
      </c>
      <c r="D21" s="14">
        <f t="shared" si="2"/>
        <v>160800</v>
      </c>
      <c r="E21" s="53" t="str">
        <f t="shared" si="3"/>
        <v>🔴 Buy cheaper</v>
      </c>
    </row>
    <row r="22" spans="1:5" ht="19.5" customHeight="1" x14ac:dyDescent="0.25">
      <c r="A22" s="14">
        <f>ROUND('📦 PRODUCT INPUTS'!G5*0.8,0)</f>
        <v>640</v>
      </c>
      <c r="B22" s="14">
        <f>IFERROR('📦 PRODUCT INPUTS'!D5*A22+'⚖ MAKE OR BUY'!B9,0)</f>
        <v>359200</v>
      </c>
      <c r="C22" s="14">
        <f>IFERROR('⚖ MAKE OR BUY'!D9*A22,0)</f>
        <v>204800</v>
      </c>
      <c r="D22" s="14">
        <f t="shared" si="2"/>
        <v>154400</v>
      </c>
      <c r="E22" s="53" t="str">
        <f t="shared" si="3"/>
        <v>🔴 Buy cheaper</v>
      </c>
    </row>
    <row r="23" spans="1:5" ht="19.5" customHeight="1" x14ac:dyDescent="0.25">
      <c r="A23" s="13">
        <f>ROUND('📦 PRODUCT INPUTS'!G5*1,0)</f>
        <v>800</v>
      </c>
      <c r="B23" s="13">
        <f>IFERROR('📦 PRODUCT INPUTS'!D5*A23+'⚖ MAKE OR BUY'!B9,0)</f>
        <v>404000</v>
      </c>
      <c r="C23" s="13">
        <f>IFERROR('⚖ MAKE OR BUY'!D9*A23,0)</f>
        <v>256000</v>
      </c>
      <c r="D23" s="13">
        <f t="shared" si="2"/>
        <v>148000</v>
      </c>
      <c r="E23" s="54" t="str">
        <f t="shared" si="3"/>
        <v>🔴 Buy cheaper</v>
      </c>
    </row>
    <row r="24" spans="1:5" ht="19.5" customHeight="1" x14ac:dyDescent="0.25">
      <c r="A24" s="14">
        <f>ROUND('📦 PRODUCT INPUTS'!G5*1.2,0)</f>
        <v>960</v>
      </c>
      <c r="B24" s="14">
        <f>IFERROR('📦 PRODUCT INPUTS'!D5*A24+'⚖ MAKE OR BUY'!B9,0)</f>
        <v>448800</v>
      </c>
      <c r="C24" s="14">
        <f>IFERROR('⚖ MAKE OR BUY'!D9*A24,0)</f>
        <v>307200</v>
      </c>
      <c r="D24" s="14">
        <f t="shared" si="2"/>
        <v>141600</v>
      </c>
      <c r="E24" s="53" t="str">
        <f t="shared" si="3"/>
        <v>🔴 Buy cheaper</v>
      </c>
    </row>
    <row r="25" spans="1:5" ht="19.5" customHeight="1" x14ac:dyDescent="0.25">
      <c r="A25" s="14">
        <f>ROUND('📦 PRODUCT INPUTS'!G5*1.4,0)</f>
        <v>1120</v>
      </c>
      <c r="B25" s="14">
        <f>IFERROR('📦 PRODUCT INPUTS'!D5*A25+'⚖ MAKE OR BUY'!B9,0)</f>
        <v>493600</v>
      </c>
      <c r="C25" s="14">
        <f>IFERROR('⚖ MAKE OR BUY'!D9*A25,0)</f>
        <v>358400</v>
      </c>
      <c r="D25" s="14">
        <f t="shared" si="2"/>
        <v>135200</v>
      </c>
      <c r="E25" s="53" t="str">
        <f t="shared" si="3"/>
        <v>🔴 Buy cheaper</v>
      </c>
    </row>
    <row r="26" spans="1:5" ht="19.5" customHeight="1" x14ac:dyDescent="0.25">
      <c r="A26" s="14">
        <f>ROUND('📦 PRODUCT INPUTS'!G5*1.6,0)</f>
        <v>1280</v>
      </c>
      <c r="B26" s="14">
        <f>IFERROR('📦 PRODUCT INPUTS'!D5*A26+'⚖ MAKE OR BUY'!B9,0)</f>
        <v>538400</v>
      </c>
      <c r="C26" s="14">
        <f>IFERROR('⚖ MAKE OR BUY'!D9*A26,0)</f>
        <v>409600</v>
      </c>
      <c r="D26" s="14">
        <f t="shared" si="2"/>
        <v>128800</v>
      </c>
      <c r="E26" s="53" t="str">
        <f t="shared" si="3"/>
        <v>🔴 Buy cheaper</v>
      </c>
    </row>
    <row r="27" spans="1:5" ht="19.5" customHeight="1" x14ac:dyDescent="0.25">
      <c r="A27" s="14">
        <f>ROUND('📦 PRODUCT INPUTS'!G5*1.8,0)</f>
        <v>1440</v>
      </c>
      <c r="B27" s="14">
        <f>IFERROR('📦 PRODUCT INPUTS'!D5*A27+'⚖ MAKE OR BUY'!B9,0)</f>
        <v>583200</v>
      </c>
      <c r="C27" s="14">
        <f>IFERROR('⚖ MAKE OR BUY'!D9*A27,0)</f>
        <v>460800</v>
      </c>
      <c r="D27" s="14">
        <f t="shared" si="2"/>
        <v>122400</v>
      </c>
      <c r="E27" s="53" t="str">
        <f t="shared" si="3"/>
        <v>🔴 Buy cheaper</v>
      </c>
    </row>
    <row r="28" spans="1:5" ht="19.5" customHeight="1" x14ac:dyDescent="0.25">
      <c r="A28" s="14">
        <f>ROUND('📦 PRODUCT INPUTS'!G5*2,0)</f>
        <v>1600</v>
      </c>
      <c r="B28" s="14">
        <f>IFERROR('📦 PRODUCT INPUTS'!D5*A28+'⚖ MAKE OR BUY'!B9,0)</f>
        <v>628000</v>
      </c>
      <c r="C28" s="14">
        <f>IFERROR('⚖ MAKE OR BUY'!D9*A28,0)</f>
        <v>512000</v>
      </c>
      <c r="D28" s="14">
        <f t="shared" si="2"/>
        <v>116000</v>
      </c>
      <c r="E28" s="53" t="str">
        <f t="shared" si="3"/>
        <v>🔴 Buy cheaper</v>
      </c>
    </row>
    <row r="29" spans="1:5" ht="15" customHeight="1" x14ac:dyDescent="0.25">
      <c r="A29" s="55" t="s">
        <v>169</v>
      </c>
      <c r="B29" s="55"/>
      <c r="C29" s="55"/>
      <c r="D29" s="55"/>
      <c r="E29" s="55"/>
    </row>
    <row r="31" spans="1:5" ht="21.75" customHeight="1" x14ac:dyDescent="0.25">
      <c r="A31" s="30" t="s">
        <v>171</v>
      </c>
      <c r="B31" s="30"/>
      <c r="C31" s="30"/>
      <c r="D31" s="30"/>
      <c r="E31" s="30"/>
    </row>
    <row r="32" spans="1:5" ht="24" customHeight="1" x14ac:dyDescent="0.25">
      <c r="A32" s="5" t="s">
        <v>164</v>
      </c>
      <c r="B32" s="5" t="s">
        <v>165</v>
      </c>
      <c r="C32" s="5" t="s">
        <v>166</v>
      </c>
      <c r="D32" s="5" t="s">
        <v>167</v>
      </c>
      <c r="E32" s="5" t="s">
        <v>168</v>
      </c>
    </row>
    <row r="33" spans="1:5" ht="19.5" customHeight="1" x14ac:dyDescent="0.25">
      <c r="A33" s="14">
        <f>ROUND('📦 PRODUCT INPUTS'!G6*0.2,0)</f>
        <v>3600</v>
      </c>
      <c r="B33" s="14">
        <f>IFERROR('📦 PRODUCT INPUTS'!D6*A33+'⚖ MAKE OR BUY'!B12,0)</f>
        <v>78200</v>
      </c>
      <c r="C33" s="14">
        <f>IFERROR('⚖ MAKE OR BUY'!D12*A33,0)</f>
        <v>54000</v>
      </c>
      <c r="D33" s="14">
        <f t="shared" ref="D33:D42" si="4">B33-C33</f>
        <v>24200</v>
      </c>
      <c r="E33" s="53" t="str">
        <f t="shared" ref="E33:E42" si="5">IF(B33&lt;C33,"🟢 Make cheaper","🔴 Buy cheaper")</f>
        <v>🔴 Buy cheaper</v>
      </c>
    </row>
    <row r="34" spans="1:5" ht="19.5" customHeight="1" x14ac:dyDescent="0.25">
      <c r="A34" s="14">
        <f>ROUND('📦 PRODUCT INPUTS'!G6*0.4,0)</f>
        <v>7200</v>
      </c>
      <c r="B34" s="14">
        <f>IFERROR('📦 PRODUCT INPUTS'!D6*A34+'⚖ MAKE OR BUY'!B12,0)</f>
        <v>121400</v>
      </c>
      <c r="C34" s="14">
        <f>IFERROR('⚖ MAKE OR BUY'!D12*A34,0)</f>
        <v>108000</v>
      </c>
      <c r="D34" s="14">
        <f t="shared" si="4"/>
        <v>13400</v>
      </c>
      <c r="E34" s="53" t="str">
        <f t="shared" si="5"/>
        <v>🔴 Buy cheaper</v>
      </c>
    </row>
    <row r="35" spans="1:5" ht="19.5" customHeight="1" x14ac:dyDescent="0.25">
      <c r="A35" s="14">
        <f>ROUND('📦 PRODUCT INPUTS'!G6*0.6,0)</f>
        <v>10800</v>
      </c>
      <c r="B35" s="14">
        <f>IFERROR('📦 PRODUCT INPUTS'!D6*A35+'⚖ MAKE OR BUY'!B12,0)</f>
        <v>164600</v>
      </c>
      <c r="C35" s="14">
        <f>IFERROR('⚖ MAKE OR BUY'!D12*A35,0)</f>
        <v>162000</v>
      </c>
      <c r="D35" s="14">
        <f t="shared" si="4"/>
        <v>2600</v>
      </c>
      <c r="E35" s="53" t="str">
        <f t="shared" si="5"/>
        <v>🔴 Buy cheaper</v>
      </c>
    </row>
    <row r="36" spans="1:5" ht="19.5" customHeight="1" x14ac:dyDescent="0.25">
      <c r="A36" s="14">
        <f>ROUND('📦 PRODUCT INPUTS'!G6*0.8,0)</f>
        <v>14400</v>
      </c>
      <c r="B36" s="14">
        <f>IFERROR('📦 PRODUCT INPUTS'!D6*A36+'⚖ MAKE OR BUY'!B12,0)</f>
        <v>207800</v>
      </c>
      <c r="C36" s="14">
        <f>IFERROR('⚖ MAKE OR BUY'!D12*A36,0)</f>
        <v>216000</v>
      </c>
      <c r="D36" s="14">
        <f t="shared" si="4"/>
        <v>-8200</v>
      </c>
      <c r="E36" s="53" t="str">
        <f t="shared" si="5"/>
        <v>🟢 Make cheaper</v>
      </c>
    </row>
    <row r="37" spans="1:5" ht="19.5" customHeight="1" x14ac:dyDescent="0.25">
      <c r="A37" s="13">
        <f>ROUND('📦 PRODUCT INPUTS'!G6*1,0)</f>
        <v>18000</v>
      </c>
      <c r="B37" s="13">
        <f>IFERROR('📦 PRODUCT INPUTS'!D6*A37+'⚖ MAKE OR BUY'!B12,0)</f>
        <v>251000</v>
      </c>
      <c r="C37" s="13">
        <f>IFERROR('⚖ MAKE OR BUY'!D12*A37,0)</f>
        <v>270000</v>
      </c>
      <c r="D37" s="13">
        <f t="shared" si="4"/>
        <v>-19000</v>
      </c>
      <c r="E37" s="54" t="str">
        <f t="shared" si="5"/>
        <v>🟢 Make cheaper</v>
      </c>
    </row>
    <row r="38" spans="1:5" ht="19.5" customHeight="1" x14ac:dyDescent="0.25">
      <c r="A38" s="14">
        <f>ROUND('📦 PRODUCT INPUTS'!G6*1.2,0)</f>
        <v>21600</v>
      </c>
      <c r="B38" s="14">
        <f>IFERROR('📦 PRODUCT INPUTS'!D6*A38+'⚖ MAKE OR BUY'!B12,0)</f>
        <v>294200</v>
      </c>
      <c r="C38" s="14">
        <f>IFERROR('⚖ MAKE OR BUY'!D12*A38,0)</f>
        <v>324000</v>
      </c>
      <c r="D38" s="14">
        <f t="shared" si="4"/>
        <v>-29800</v>
      </c>
      <c r="E38" s="53" t="str">
        <f t="shared" si="5"/>
        <v>🟢 Make cheaper</v>
      </c>
    </row>
    <row r="39" spans="1:5" ht="19.5" customHeight="1" x14ac:dyDescent="0.25">
      <c r="A39" s="14">
        <f>ROUND('📦 PRODUCT INPUTS'!G6*1.4,0)</f>
        <v>25200</v>
      </c>
      <c r="B39" s="14">
        <f>IFERROR('📦 PRODUCT INPUTS'!D6*A39+'⚖ MAKE OR BUY'!B12,0)</f>
        <v>337400</v>
      </c>
      <c r="C39" s="14">
        <f>IFERROR('⚖ MAKE OR BUY'!D12*A39,0)</f>
        <v>378000</v>
      </c>
      <c r="D39" s="14">
        <f t="shared" si="4"/>
        <v>-40600</v>
      </c>
      <c r="E39" s="53" t="str">
        <f t="shared" si="5"/>
        <v>🟢 Make cheaper</v>
      </c>
    </row>
    <row r="40" spans="1:5" ht="19.5" customHeight="1" x14ac:dyDescent="0.25">
      <c r="A40" s="14">
        <f>ROUND('📦 PRODUCT INPUTS'!G6*1.6,0)</f>
        <v>28800</v>
      </c>
      <c r="B40" s="14">
        <f>IFERROR('📦 PRODUCT INPUTS'!D6*A40+'⚖ MAKE OR BUY'!B12,0)</f>
        <v>380600</v>
      </c>
      <c r="C40" s="14">
        <f>IFERROR('⚖ MAKE OR BUY'!D12*A40,0)</f>
        <v>432000</v>
      </c>
      <c r="D40" s="14">
        <f t="shared" si="4"/>
        <v>-51400</v>
      </c>
      <c r="E40" s="53" t="str">
        <f t="shared" si="5"/>
        <v>🟢 Make cheaper</v>
      </c>
    </row>
    <row r="41" spans="1:5" ht="19.5" customHeight="1" x14ac:dyDescent="0.25">
      <c r="A41" s="14">
        <f>ROUND('📦 PRODUCT INPUTS'!G6*1.8,0)</f>
        <v>32400</v>
      </c>
      <c r="B41" s="14">
        <f>IFERROR('📦 PRODUCT INPUTS'!D6*A41+'⚖ MAKE OR BUY'!B12,0)</f>
        <v>423800</v>
      </c>
      <c r="C41" s="14">
        <f>IFERROR('⚖ MAKE OR BUY'!D12*A41,0)</f>
        <v>486000</v>
      </c>
      <c r="D41" s="14">
        <f t="shared" si="4"/>
        <v>-62200</v>
      </c>
      <c r="E41" s="53" t="str">
        <f t="shared" si="5"/>
        <v>🟢 Make cheaper</v>
      </c>
    </row>
    <row r="42" spans="1:5" ht="19.5" customHeight="1" x14ac:dyDescent="0.25">
      <c r="A42" s="14">
        <f>ROUND('📦 PRODUCT INPUTS'!G6*2,0)</f>
        <v>36000</v>
      </c>
      <c r="B42" s="14">
        <f>IFERROR('📦 PRODUCT INPUTS'!D6*A42+'⚖ MAKE OR BUY'!B12,0)</f>
        <v>467000</v>
      </c>
      <c r="C42" s="14">
        <f>IFERROR('⚖ MAKE OR BUY'!D12*A42,0)</f>
        <v>540000</v>
      </c>
      <c r="D42" s="14">
        <f t="shared" si="4"/>
        <v>-73000</v>
      </c>
      <c r="E42" s="53" t="str">
        <f t="shared" si="5"/>
        <v>🟢 Make cheaper</v>
      </c>
    </row>
    <row r="43" spans="1:5" ht="15" customHeight="1" x14ac:dyDescent="0.25">
      <c r="A43" s="55" t="s">
        <v>169</v>
      </c>
      <c r="B43" s="55"/>
      <c r="C43" s="55"/>
      <c r="D43" s="55"/>
      <c r="E43" s="55"/>
    </row>
    <row r="45" spans="1:5" ht="21.75" customHeight="1" x14ac:dyDescent="0.25">
      <c r="A45" s="30" t="s">
        <v>172</v>
      </c>
      <c r="B45" s="30"/>
      <c r="C45" s="30"/>
      <c r="D45" s="30"/>
      <c r="E45" s="30"/>
    </row>
    <row r="46" spans="1:5" ht="24" customHeight="1" x14ac:dyDescent="0.25">
      <c r="A46" s="5" t="s">
        <v>164</v>
      </c>
      <c r="B46" s="5" t="s">
        <v>165</v>
      </c>
      <c r="C46" s="5" t="s">
        <v>166</v>
      </c>
      <c r="D46" s="5" t="s">
        <v>167</v>
      </c>
      <c r="E46" s="5" t="s">
        <v>168</v>
      </c>
    </row>
    <row r="47" spans="1:5" ht="19.5" customHeight="1" x14ac:dyDescent="0.25">
      <c r="A47" s="14">
        <f>ROUND('📦 PRODUCT INPUTS'!G7*0.2,0)</f>
        <v>640</v>
      </c>
      <c r="B47" s="14">
        <f>IFERROR('📦 PRODUCT INPUTS'!D7*A47+'⚖ MAKE OR BUY'!B15,0)</f>
        <v>77400</v>
      </c>
      <c r="C47" s="14">
        <f>IFERROR('⚖ MAKE OR BUY'!D15*A47,0)</f>
        <v>35200</v>
      </c>
      <c r="D47" s="14">
        <f t="shared" ref="D47:D56" si="6">B47-C47</f>
        <v>42200</v>
      </c>
      <c r="E47" s="53" t="str">
        <f t="shared" ref="E47:E56" si="7">IF(B47&lt;C47,"🟢 Make cheaper","🔴 Buy cheaper")</f>
        <v>🔴 Buy cheaper</v>
      </c>
    </row>
    <row r="48" spans="1:5" ht="19.5" customHeight="1" x14ac:dyDescent="0.25">
      <c r="A48" s="14">
        <f>ROUND('📦 PRODUCT INPUTS'!G7*0.4,0)</f>
        <v>1280</v>
      </c>
      <c r="B48" s="14">
        <f>IFERROR('📦 PRODUCT INPUTS'!D7*A48+'⚖ MAKE OR BUY'!B15,0)</f>
        <v>99800</v>
      </c>
      <c r="C48" s="14">
        <f>IFERROR('⚖ MAKE OR BUY'!D15*A48,0)</f>
        <v>70400</v>
      </c>
      <c r="D48" s="14">
        <f t="shared" si="6"/>
        <v>29400</v>
      </c>
      <c r="E48" s="53" t="str">
        <f t="shared" si="7"/>
        <v>🔴 Buy cheaper</v>
      </c>
    </row>
    <row r="49" spans="1:5" ht="19.5" customHeight="1" x14ac:dyDescent="0.25">
      <c r="A49" s="14">
        <f>ROUND('📦 PRODUCT INPUTS'!G7*0.6,0)</f>
        <v>1920</v>
      </c>
      <c r="B49" s="14">
        <f>IFERROR('📦 PRODUCT INPUTS'!D7*A49+'⚖ MAKE OR BUY'!B15,0)</f>
        <v>122200</v>
      </c>
      <c r="C49" s="14">
        <f>IFERROR('⚖ MAKE OR BUY'!D15*A49,0)</f>
        <v>105600</v>
      </c>
      <c r="D49" s="14">
        <f t="shared" si="6"/>
        <v>16600</v>
      </c>
      <c r="E49" s="53" t="str">
        <f t="shared" si="7"/>
        <v>🔴 Buy cheaper</v>
      </c>
    </row>
    <row r="50" spans="1:5" ht="19.5" customHeight="1" x14ac:dyDescent="0.25">
      <c r="A50" s="14">
        <f>ROUND('📦 PRODUCT INPUTS'!G7*0.8,0)</f>
        <v>2560</v>
      </c>
      <c r="B50" s="14">
        <f>IFERROR('📦 PRODUCT INPUTS'!D7*A50+'⚖ MAKE OR BUY'!B15,0)</f>
        <v>144600</v>
      </c>
      <c r="C50" s="14">
        <f>IFERROR('⚖ MAKE OR BUY'!D15*A50,0)</f>
        <v>140800</v>
      </c>
      <c r="D50" s="14">
        <f t="shared" si="6"/>
        <v>3800</v>
      </c>
      <c r="E50" s="53" t="str">
        <f t="shared" si="7"/>
        <v>🔴 Buy cheaper</v>
      </c>
    </row>
    <row r="51" spans="1:5" ht="19.5" customHeight="1" x14ac:dyDescent="0.25">
      <c r="A51" s="13">
        <f>ROUND('📦 PRODUCT INPUTS'!G7*1,0)</f>
        <v>3200</v>
      </c>
      <c r="B51" s="13">
        <f>IFERROR('📦 PRODUCT INPUTS'!D7*A51+'⚖ MAKE OR BUY'!B15,0)</f>
        <v>167000</v>
      </c>
      <c r="C51" s="13">
        <f>IFERROR('⚖ MAKE OR BUY'!D15*A51,0)</f>
        <v>176000</v>
      </c>
      <c r="D51" s="13">
        <f t="shared" si="6"/>
        <v>-9000</v>
      </c>
      <c r="E51" s="54" t="str">
        <f t="shared" si="7"/>
        <v>🟢 Make cheaper</v>
      </c>
    </row>
    <row r="52" spans="1:5" ht="19.5" customHeight="1" x14ac:dyDescent="0.25">
      <c r="A52" s="14">
        <f>ROUND('📦 PRODUCT INPUTS'!G7*1.2,0)</f>
        <v>3840</v>
      </c>
      <c r="B52" s="14">
        <f>IFERROR('📦 PRODUCT INPUTS'!D7*A52+'⚖ MAKE OR BUY'!B15,0)</f>
        <v>189400</v>
      </c>
      <c r="C52" s="14">
        <f>IFERROR('⚖ MAKE OR BUY'!D15*A52,0)</f>
        <v>211200</v>
      </c>
      <c r="D52" s="14">
        <f t="shared" si="6"/>
        <v>-21800</v>
      </c>
      <c r="E52" s="53" t="str">
        <f t="shared" si="7"/>
        <v>🟢 Make cheaper</v>
      </c>
    </row>
    <row r="53" spans="1:5" ht="19.5" customHeight="1" x14ac:dyDescent="0.25">
      <c r="A53" s="14">
        <f>ROUND('📦 PRODUCT INPUTS'!G7*1.4,0)</f>
        <v>4480</v>
      </c>
      <c r="B53" s="14">
        <f>IFERROR('📦 PRODUCT INPUTS'!D7*A53+'⚖ MAKE OR BUY'!B15,0)</f>
        <v>211800</v>
      </c>
      <c r="C53" s="14">
        <f>IFERROR('⚖ MAKE OR BUY'!D15*A53,0)</f>
        <v>246400</v>
      </c>
      <c r="D53" s="14">
        <f t="shared" si="6"/>
        <v>-34600</v>
      </c>
      <c r="E53" s="53" t="str">
        <f t="shared" si="7"/>
        <v>🟢 Make cheaper</v>
      </c>
    </row>
    <row r="54" spans="1:5" ht="19.5" customHeight="1" x14ac:dyDescent="0.25">
      <c r="A54" s="14">
        <f>ROUND('📦 PRODUCT INPUTS'!G7*1.6,0)</f>
        <v>5120</v>
      </c>
      <c r="B54" s="14">
        <f>IFERROR('📦 PRODUCT INPUTS'!D7*A54+'⚖ MAKE OR BUY'!B15,0)</f>
        <v>234200</v>
      </c>
      <c r="C54" s="14">
        <f>IFERROR('⚖ MAKE OR BUY'!D15*A54,0)</f>
        <v>281600</v>
      </c>
      <c r="D54" s="14">
        <f t="shared" si="6"/>
        <v>-47400</v>
      </c>
      <c r="E54" s="53" t="str">
        <f t="shared" si="7"/>
        <v>🟢 Make cheaper</v>
      </c>
    </row>
    <row r="55" spans="1:5" ht="19.5" customHeight="1" x14ac:dyDescent="0.25">
      <c r="A55" s="14">
        <f>ROUND('📦 PRODUCT INPUTS'!G7*1.8,0)</f>
        <v>5760</v>
      </c>
      <c r="B55" s="14">
        <f>IFERROR('📦 PRODUCT INPUTS'!D7*A55+'⚖ MAKE OR BUY'!B15,0)</f>
        <v>256600</v>
      </c>
      <c r="C55" s="14">
        <f>IFERROR('⚖ MAKE OR BUY'!D15*A55,0)</f>
        <v>316800</v>
      </c>
      <c r="D55" s="14">
        <f t="shared" si="6"/>
        <v>-60200</v>
      </c>
      <c r="E55" s="53" t="str">
        <f t="shared" si="7"/>
        <v>🟢 Make cheaper</v>
      </c>
    </row>
    <row r="56" spans="1:5" ht="19.5" customHeight="1" x14ac:dyDescent="0.25">
      <c r="A56" s="14">
        <f>ROUND('📦 PRODUCT INPUTS'!G7*2,0)</f>
        <v>6400</v>
      </c>
      <c r="B56" s="14">
        <f>IFERROR('📦 PRODUCT INPUTS'!D7*A56+'⚖ MAKE OR BUY'!B15,0)</f>
        <v>279000</v>
      </c>
      <c r="C56" s="14">
        <f>IFERROR('⚖ MAKE OR BUY'!D15*A56,0)</f>
        <v>352000</v>
      </c>
      <c r="D56" s="14">
        <f t="shared" si="6"/>
        <v>-73000</v>
      </c>
      <c r="E56" s="53" t="str">
        <f t="shared" si="7"/>
        <v>🟢 Make cheaper</v>
      </c>
    </row>
    <row r="57" spans="1:5" ht="15" customHeight="1" x14ac:dyDescent="0.25">
      <c r="A57" s="55" t="s">
        <v>169</v>
      </c>
      <c r="B57" s="55"/>
      <c r="C57" s="55"/>
      <c r="D57" s="55"/>
      <c r="E57" s="55"/>
    </row>
    <row r="59" spans="1:5" ht="21.75" customHeight="1" x14ac:dyDescent="0.25">
      <c r="A59" s="30" t="s">
        <v>173</v>
      </c>
      <c r="B59" s="30"/>
      <c r="C59" s="30"/>
      <c r="D59" s="30"/>
      <c r="E59" s="30"/>
    </row>
    <row r="60" spans="1:5" ht="24" customHeight="1" x14ac:dyDescent="0.25">
      <c r="A60" s="5" t="s">
        <v>164</v>
      </c>
      <c r="B60" s="5" t="s">
        <v>165</v>
      </c>
      <c r="C60" s="5" t="s">
        <v>166</v>
      </c>
      <c r="D60" s="5" t="s">
        <v>167</v>
      </c>
      <c r="E60" s="5" t="s">
        <v>168</v>
      </c>
    </row>
    <row r="61" spans="1:5" ht="19.5" customHeight="1" x14ac:dyDescent="0.25">
      <c r="A61" s="14">
        <f>ROUND('📦 PRODUCT INPUTS'!G8*0.2,0)</f>
        <v>1500</v>
      </c>
      <c r="B61" s="14">
        <f>IFERROR('📦 PRODUCT INPUTS'!D8*A61+'⚖ MAKE OR BUY'!B18,0)</f>
        <v>63000</v>
      </c>
      <c r="C61" s="14">
        <f>IFERROR('⚖ MAKE OR BUY'!D18*A61,0)</f>
        <v>30000</v>
      </c>
      <c r="D61" s="14">
        <f t="shared" ref="D61:D70" si="8">B61-C61</f>
        <v>33000</v>
      </c>
      <c r="E61" s="53" t="str">
        <f t="shared" ref="E61:E70" si="9">IF(B61&lt;C61,"🟢 Make cheaper","🔴 Buy cheaper")</f>
        <v>🔴 Buy cheaper</v>
      </c>
    </row>
    <row r="62" spans="1:5" ht="19.5" customHeight="1" x14ac:dyDescent="0.25">
      <c r="A62" s="14">
        <f>ROUND('📦 PRODUCT INPUTS'!G8*0.4,0)</f>
        <v>3000</v>
      </c>
      <c r="B62" s="14">
        <f>IFERROR('📦 PRODUCT INPUTS'!D8*A62+'⚖ MAKE OR BUY'!B18,0)</f>
        <v>84000</v>
      </c>
      <c r="C62" s="14">
        <f>IFERROR('⚖ MAKE OR BUY'!D18*A62,0)</f>
        <v>60000</v>
      </c>
      <c r="D62" s="14">
        <f t="shared" si="8"/>
        <v>24000</v>
      </c>
      <c r="E62" s="53" t="str">
        <f t="shared" si="9"/>
        <v>🔴 Buy cheaper</v>
      </c>
    </row>
    <row r="63" spans="1:5" ht="19.5" customHeight="1" x14ac:dyDescent="0.25">
      <c r="A63" s="14">
        <f>ROUND('📦 PRODUCT INPUTS'!G8*0.6,0)</f>
        <v>4500</v>
      </c>
      <c r="B63" s="14">
        <f>IFERROR('📦 PRODUCT INPUTS'!D8*A63+'⚖ MAKE OR BUY'!B18,0)</f>
        <v>105000</v>
      </c>
      <c r="C63" s="14">
        <f>IFERROR('⚖ MAKE OR BUY'!D18*A63,0)</f>
        <v>90000</v>
      </c>
      <c r="D63" s="14">
        <f t="shared" si="8"/>
        <v>15000</v>
      </c>
      <c r="E63" s="53" t="str">
        <f t="shared" si="9"/>
        <v>🔴 Buy cheaper</v>
      </c>
    </row>
    <row r="64" spans="1:5" ht="19.5" customHeight="1" x14ac:dyDescent="0.25">
      <c r="A64" s="14">
        <f>ROUND('📦 PRODUCT INPUTS'!G8*0.8,0)</f>
        <v>6000</v>
      </c>
      <c r="B64" s="14">
        <f>IFERROR('📦 PRODUCT INPUTS'!D8*A64+'⚖ MAKE OR BUY'!B18,0)</f>
        <v>126000</v>
      </c>
      <c r="C64" s="14">
        <f>IFERROR('⚖ MAKE OR BUY'!D18*A64,0)</f>
        <v>120000</v>
      </c>
      <c r="D64" s="14">
        <f t="shared" si="8"/>
        <v>6000</v>
      </c>
      <c r="E64" s="53" t="str">
        <f t="shared" si="9"/>
        <v>🔴 Buy cheaper</v>
      </c>
    </row>
    <row r="65" spans="1:5" ht="19.5" customHeight="1" x14ac:dyDescent="0.25">
      <c r="A65" s="13">
        <f>ROUND('📦 PRODUCT INPUTS'!G8*1,0)</f>
        <v>7500</v>
      </c>
      <c r="B65" s="13">
        <f>IFERROR('📦 PRODUCT INPUTS'!D8*A65+'⚖ MAKE OR BUY'!B18,0)</f>
        <v>147000</v>
      </c>
      <c r="C65" s="13">
        <f>IFERROR('⚖ MAKE OR BUY'!D18*A65,0)</f>
        <v>150000</v>
      </c>
      <c r="D65" s="13">
        <f t="shared" si="8"/>
        <v>-3000</v>
      </c>
      <c r="E65" s="54" t="str">
        <f t="shared" si="9"/>
        <v>🟢 Make cheaper</v>
      </c>
    </row>
    <row r="66" spans="1:5" ht="19.5" customHeight="1" x14ac:dyDescent="0.25">
      <c r="A66" s="14">
        <f>ROUND('📦 PRODUCT INPUTS'!G8*1.2,0)</f>
        <v>9000</v>
      </c>
      <c r="B66" s="14">
        <f>IFERROR('📦 PRODUCT INPUTS'!D8*A66+'⚖ MAKE OR BUY'!B18,0)</f>
        <v>168000</v>
      </c>
      <c r="C66" s="14">
        <f>IFERROR('⚖ MAKE OR BUY'!D18*A66,0)</f>
        <v>180000</v>
      </c>
      <c r="D66" s="14">
        <f t="shared" si="8"/>
        <v>-12000</v>
      </c>
      <c r="E66" s="53" t="str">
        <f t="shared" si="9"/>
        <v>🟢 Make cheaper</v>
      </c>
    </row>
    <row r="67" spans="1:5" ht="19.5" customHeight="1" x14ac:dyDescent="0.25">
      <c r="A67" s="14">
        <f>ROUND('📦 PRODUCT INPUTS'!G8*1.4,0)</f>
        <v>10500</v>
      </c>
      <c r="B67" s="14">
        <f>IFERROR('📦 PRODUCT INPUTS'!D8*A67+'⚖ MAKE OR BUY'!B18,0)</f>
        <v>189000</v>
      </c>
      <c r="C67" s="14">
        <f>IFERROR('⚖ MAKE OR BUY'!D18*A67,0)</f>
        <v>210000</v>
      </c>
      <c r="D67" s="14">
        <f t="shared" si="8"/>
        <v>-21000</v>
      </c>
      <c r="E67" s="53" t="str">
        <f t="shared" si="9"/>
        <v>🟢 Make cheaper</v>
      </c>
    </row>
    <row r="68" spans="1:5" ht="19.5" customHeight="1" x14ac:dyDescent="0.25">
      <c r="A68" s="14">
        <f>ROUND('📦 PRODUCT INPUTS'!G8*1.6,0)</f>
        <v>12000</v>
      </c>
      <c r="B68" s="14">
        <f>IFERROR('📦 PRODUCT INPUTS'!D8*A68+'⚖ MAKE OR BUY'!B18,0)</f>
        <v>210000</v>
      </c>
      <c r="C68" s="14">
        <f>IFERROR('⚖ MAKE OR BUY'!D18*A68,0)</f>
        <v>240000</v>
      </c>
      <c r="D68" s="14">
        <f t="shared" si="8"/>
        <v>-30000</v>
      </c>
      <c r="E68" s="53" t="str">
        <f t="shared" si="9"/>
        <v>🟢 Make cheaper</v>
      </c>
    </row>
    <row r="69" spans="1:5" ht="19.5" customHeight="1" x14ac:dyDescent="0.25">
      <c r="A69" s="14">
        <f>ROUND('📦 PRODUCT INPUTS'!G8*1.8,0)</f>
        <v>13500</v>
      </c>
      <c r="B69" s="14">
        <f>IFERROR('📦 PRODUCT INPUTS'!D8*A69+'⚖ MAKE OR BUY'!B18,0)</f>
        <v>231000</v>
      </c>
      <c r="C69" s="14">
        <f>IFERROR('⚖ MAKE OR BUY'!D18*A69,0)</f>
        <v>270000</v>
      </c>
      <c r="D69" s="14">
        <f t="shared" si="8"/>
        <v>-39000</v>
      </c>
      <c r="E69" s="53" t="str">
        <f t="shared" si="9"/>
        <v>🟢 Make cheaper</v>
      </c>
    </row>
    <row r="70" spans="1:5" ht="19.5" customHeight="1" x14ac:dyDescent="0.25">
      <c r="A70" s="14">
        <f>ROUND('📦 PRODUCT INPUTS'!G8*2,0)</f>
        <v>15000</v>
      </c>
      <c r="B70" s="14">
        <f>IFERROR('📦 PRODUCT INPUTS'!D8*A70+'⚖ MAKE OR BUY'!B18,0)</f>
        <v>252000</v>
      </c>
      <c r="C70" s="14">
        <f>IFERROR('⚖ MAKE OR BUY'!D18*A70,0)</f>
        <v>300000</v>
      </c>
      <c r="D70" s="14">
        <f t="shared" si="8"/>
        <v>-48000</v>
      </c>
      <c r="E70" s="53" t="str">
        <f t="shared" si="9"/>
        <v>🟢 Make cheaper</v>
      </c>
    </row>
    <row r="71" spans="1:5" ht="15" customHeight="1" x14ac:dyDescent="0.25">
      <c r="A71" s="55" t="s">
        <v>169</v>
      </c>
      <c r="B71" s="55"/>
      <c r="C71" s="55"/>
      <c r="D71" s="55"/>
      <c r="E71" s="55"/>
    </row>
    <row r="73" spans="1:5" ht="21.75" customHeight="1" x14ac:dyDescent="0.25">
      <c r="A73" s="30" t="s">
        <v>174</v>
      </c>
      <c r="B73" s="30"/>
      <c r="C73" s="30"/>
      <c r="D73" s="30"/>
      <c r="E73" s="30"/>
    </row>
    <row r="74" spans="1:5" ht="24" customHeight="1" x14ac:dyDescent="0.25">
      <c r="A74" s="5" t="s">
        <v>164</v>
      </c>
      <c r="B74" s="5" t="s">
        <v>165</v>
      </c>
      <c r="C74" s="5" t="s">
        <v>166</v>
      </c>
      <c r="D74" s="5" t="s">
        <v>167</v>
      </c>
      <c r="E74" s="5" t="s">
        <v>168</v>
      </c>
    </row>
    <row r="75" spans="1:5" ht="19.5" customHeight="1" x14ac:dyDescent="0.25">
      <c r="A75" s="14">
        <f>ROUND('📦 PRODUCT INPUTS'!G9*0.2,0)</f>
        <v>120</v>
      </c>
      <c r="B75" s="14">
        <f>IFERROR('📦 PRODUCT INPUTS'!D9*A75+'⚖ MAKE OR BUY'!B21,0)</f>
        <v>260800</v>
      </c>
      <c r="C75" s="14">
        <f>IFERROR('⚖ MAKE OR BUY'!D21*A75,0)</f>
        <v>46800</v>
      </c>
      <c r="D75" s="14">
        <f t="shared" ref="D75:D84" si="10">B75-C75</f>
        <v>214000</v>
      </c>
      <c r="E75" s="53" t="str">
        <f t="shared" ref="E75:E84" si="11">IF(B75&lt;C75,"🟢 Make cheaper","🔴 Buy cheaper")</f>
        <v>🔴 Buy cheaper</v>
      </c>
    </row>
    <row r="76" spans="1:5" ht="19.5" customHeight="1" x14ac:dyDescent="0.25">
      <c r="A76" s="14">
        <f>ROUND('📦 PRODUCT INPUTS'!G9*0.4,0)</f>
        <v>240</v>
      </c>
      <c r="B76" s="14">
        <f>IFERROR('📦 PRODUCT INPUTS'!D9*A76+'⚖ MAKE OR BUY'!B21,0)</f>
        <v>301600</v>
      </c>
      <c r="C76" s="14">
        <f>IFERROR('⚖ MAKE OR BUY'!D21*A76,0)</f>
        <v>93600</v>
      </c>
      <c r="D76" s="14">
        <f t="shared" si="10"/>
        <v>208000</v>
      </c>
      <c r="E76" s="53" t="str">
        <f t="shared" si="11"/>
        <v>🔴 Buy cheaper</v>
      </c>
    </row>
    <row r="77" spans="1:5" ht="19.5" customHeight="1" x14ac:dyDescent="0.25">
      <c r="A77" s="14">
        <f>ROUND('📦 PRODUCT INPUTS'!G9*0.6,0)</f>
        <v>360</v>
      </c>
      <c r="B77" s="14">
        <f>IFERROR('📦 PRODUCT INPUTS'!D9*A77+'⚖ MAKE OR BUY'!B21,0)</f>
        <v>342400</v>
      </c>
      <c r="C77" s="14">
        <f>IFERROR('⚖ MAKE OR BUY'!D21*A77,0)</f>
        <v>140400</v>
      </c>
      <c r="D77" s="14">
        <f t="shared" si="10"/>
        <v>202000</v>
      </c>
      <c r="E77" s="53" t="str">
        <f t="shared" si="11"/>
        <v>🔴 Buy cheaper</v>
      </c>
    </row>
    <row r="78" spans="1:5" ht="19.5" customHeight="1" x14ac:dyDescent="0.25">
      <c r="A78" s="14">
        <f>ROUND('📦 PRODUCT INPUTS'!G9*0.8,0)</f>
        <v>480</v>
      </c>
      <c r="B78" s="14">
        <f>IFERROR('📦 PRODUCT INPUTS'!D9*A78+'⚖ MAKE OR BUY'!B21,0)</f>
        <v>383200</v>
      </c>
      <c r="C78" s="14">
        <f>IFERROR('⚖ MAKE OR BUY'!D21*A78,0)</f>
        <v>187200</v>
      </c>
      <c r="D78" s="14">
        <f t="shared" si="10"/>
        <v>196000</v>
      </c>
      <c r="E78" s="53" t="str">
        <f t="shared" si="11"/>
        <v>🔴 Buy cheaper</v>
      </c>
    </row>
    <row r="79" spans="1:5" ht="19.5" customHeight="1" x14ac:dyDescent="0.25">
      <c r="A79" s="13">
        <f>ROUND('📦 PRODUCT INPUTS'!G9*1,0)</f>
        <v>600</v>
      </c>
      <c r="B79" s="13">
        <f>IFERROR('📦 PRODUCT INPUTS'!D9*A79+'⚖ MAKE OR BUY'!B21,0)</f>
        <v>424000</v>
      </c>
      <c r="C79" s="13">
        <f>IFERROR('⚖ MAKE OR BUY'!D21*A79,0)</f>
        <v>234000</v>
      </c>
      <c r="D79" s="13">
        <f t="shared" si="10"/>
        <v>190000</v>
      </c>
      <c r="E79" s="54" t="str">
        <f t="shared" si="11"/>
        <v>🔴 Buy cheaper</v>
      </c>
    </row>
    <row r="80" spans="1:5" ht="19.5" customHeight="1" x14ac:dyDescent="0.25">
      <c r="A80" s="14">
        <f>ROUND('📦 PRODUCT INPUTS'!G9*1.2,0)</f>
        <v>720</v>
      </c>
      <c r="B80" s="14">
        <f>IFERROR('📦 PRODUCT INPUTS'!D9*A80+'⚖ MAKE OR BUY'!B21,0)</f>
        <v>464800</v>
      </c>
      <c r="C80" s="14">
        <f>IFERROR('⚖ MAKE OR BUY'!D21*A80,0)</f>
        <v>280800</v>
      </c>
      <c r="D80" s="14">
        <f t="shared" si="10"/>
        <v>184000</v>
      </c>
      <c r="E80" s="53" t="str">
        <f t="shared" si="11"/>
        <v>🔴 Buy cheaper</v>
      </c>
    </row>
    <row r="81" spans="1:5" ht="19.5" customHeight="1" x14ac:dyDescent="0.25">
      <c r="A81" s="14">
        <f>ROUND('📦 PRODUCT INPUTS'!G9*1.4,0)</f>
        <v>840</v>
      </c>
      <c r="B81" s="14">
        <f>IFERROR('📦 PRODUCT INPUTS'!D9*A81+'⚖ MAKE OR BUY'!B21,0)</f>
        <v>505600</v>
      </c>
      <c r="C81" s="14">
        <f>IFERROR('⚖ MAKE OR BUY'!D21*A81,0)</f>
        <v>327600</v>
      </c>
      <c r="D81" s="14">
        <f t="shared" si="10"/>
        <v>178000</v>
      </c>
      <c r="E81" s="53" t="str">
        <f t="shared" si="11"/>
        <v>🔴 Buy cheaper</v>
      </c>
    </row>
    <row r="82" spans="1:5" ht="19.5" customHeight="1" x14ac:dyDescent="0.25">
      <c r="A82" s="14">
        <f>ROUND('📦 PRODUCT INPUTS'!G9*1.6,0)</f>
        <v>960</v>
      </c>
      <c r="B82" s="14">
        <f>IFERROR('📦 PRODUCT INPUTS'!D9*A82+'⚖ MAKE OR BUY'!B21,0)</f>
        <v>546400</v>
      </c>
      <c r="C82" s="14">
        <f>IFERROR('⚖ MAKE OR BUY'!D21*A82,0)</f>
        <v>374400</v>
      </c>
      <c r="D82" s="14">
        <f t="shared" si="10"/>
        <v>172000</v>
      </c>
      <c r="E82" s="53" t="str">
        <f t="shared" si="11"/>
        <v>🔴 Buy cheaper</v>
      </c>
    </row>
    <row r="83" spans="1:5" ht="19.5" customHeight="1" x14ac:dyDescent="0.25">
      <c r="A83" s="14">
        <f>ROUND('📦 PRODUCT INPUTS'!G9*1.8,0)</f>
        <v>1080</v>
      </c>
      <c r="B83" s="14">
        <f>IFERROR('📦 PRODUCT INPUTS'!D9*A83+'⚖ MAKE OR BUY'!B21,0)</f>
        <v>587200</v>
      </c>
      <c r="C83" s="14">
        <f>IFERROR('⚖ MAKE OR BUY'!D21*A83,0)</f>
        <v>421200</v>
      </c>
      <c r="D83" s="14">
        <f t="shared" si="10"/>
        <v>166000</v>
      </c>
      <c r="E83" s="53" t="str">
        <f t="shared" si="11"/>
        <v>🔴 Buy cheaper</v>
      </c>
    </row>
    <row r="84" spans="1:5" ht="19.5" customHeight="1" x14ac:dyDescent="0.25">
      <c r="A84" s="14">
        <f>ROUND('📦 PRODUCT INPUTS'!G9*2,0)</f>
        <v>1200</v>
      </c>
      <c r="B84" s="14">
        <f>IFERROR('📦 PRODUCT INPUTS'!D9*A84+'⚖ MAKE OR BUY'!B21,0)</f>
        <v>628000</v>
      </c>
      <c r="C84" s="14">
        <f>IFERROR('⚖ MAKE OR BUY'!D21*A84,0)</f>
        <v>468000</v>
      </c>
      <c r="D84" s="14">
        <f t="shared" si="10"/>
        <v>160000</v>
      </c>
      <c r="E84" s="53" t="str">
        <f t="shared" si="11"/>
        <v>🔴 Buy cheaper</v>
      </c>
    </row>
    <row r="85" spans="1:5" ht="15" customHeight="1" x14ac:dyDescent="0.25">
      <c r="A85" s="55" t="s">
        <v>169</v>
      </c>
      <c r="B85" s="55"/>
      <c r="C85" s="55"/>
      <c r="D85" s="55"/>
      <c r="E85" s="55"/>
    </row>
    <row r="87" spans="1:5" ht="21.75" customHeight="1" x14ac:dyDescent="0.25">
      <c r="A87" s="30" t="s">
        <v>175</v>
      </c>
      <c r="B87" s="30"/>
      <c r="C87" s="30"/>
      <c r="D87" s="30"/>
      <c r="E87" s="30"/>
    </row>
    <row r="88" spans="1:5" ht="24" customHeight="1" x14ac:dyDescent="0.25">
      <c r="A88" s="5" t="s">
        <v>164</v>
      </c>
      <c r="B88" s="5" t="s">
        <v>165</v>
      </c>
      <c r="C88" s="5" t="s">
        <v>166</v>
      </c>
      <c r="D88" s="5" t="s">
        <v>167</v>
      </c>
      <c r="E88" s="5" t="s">
        <v>168</v>
      </c>
    </row>
    <row r="89" spans="1:5" ht="19.5" customHeight="1" x14ac:dyDescent="0.25">
      <c r="A89" s="14">
        <f>ROUND('📦 PRODUCT INPUTS'!G10*0.2,0)</f>
        <v>2400</v>
      </c>
      <c r="B89" s="14">
        <f>IFERROR('📦 PRODUCT INPUTS'!D10*A89+'⚖ MAKE OR BUY'!B24,0)</f>
        <v>54000</v>
      </c>
      <c r="C89" s="14">
        <f>IFERROR('⚖ MAKE OR BUY'!D24*A89,0)</f>
        <v>43200</v>
      </c>
      <c r="D89" s="14">
        <f t="shared" ref="D89:D98" si="12">B89-C89</f>
        <v>10800</v>
      </c>
      <c r="E89" s="53" t="str">
        <f t="shared" ref="E89:E98" si="13">IF(B89&lt;C89,"🟢 Make cheaper","🔴 Buy cheaper")</f>
        <v>🔴 Buy cheaper</v>
      </c>
    </row>
    <row r="90" spans="1:5" ht="19.5" customHeight="1" x14ac:dyDescent="0.25">
      <c r="A90" s="14">
        <f>ROUND('📦 PRODUCT INPUTS'!G10*0.4,0)</f>
        <v>4800</v>
      </c>
      <c r="B90" s="14">
        <f>IFERROR('📦 PRODUCT INPUTS'!D10*A90+'⚖ MAKE OR BUY'!B24,0)</f>
        <v>78000</v>
      </c>
      <c r="C90" s="14">
        <f>IFERROR('⚖ MAKE OR BUY'!D24*A90,0)</f>
        <v>86400</v>
      </c>
      <c r="D90" s="14">
        <f t="shared" si="12"/>
        <v>-8400</v>
      </c>
      <c r="E90" s="53" t="str">
        <f t="shared" si="13"/>
        <v>🟢 Make cheaper</v>
      </c>
    </row>
    <row r="91" spans="1:5" ht="19.5" customHeight="1" x14ac:dyDescent="0.25">
      <c r="A91" s="14">
        <f>ROUND('📦 PRODUCT INPUTS'!G10*0.6,0)</f>
        <v>7200</v>
      </c>
      <c r="B91" s="14">
        <f>IFERROR('📦 PRODUCT INPUTS'!D10*A91+'⚖ MAKE OR BUY'!B24,0)</f>
        <v>102000</v>
      </c>
      <c r="C91" s="14">
        <f>IFERROR('⚖ MAKE OR BUY'!D24*A91,0)</f>
        <v>129600</v>
      </c>
      <c r="D91" s="14">
        <f t="shared" si="12"/>
        <v>-27600</v>
      </c>
      <c r="E91" s="53" t="str">
        <f t="shared" si="13"/>
        <v>🟢 Make cheaper</v>
      </c>
    </row>
    <row r="92" spans="1:5" ht="19.5" customHeight="1" x14ac:dyDescent="0.25">
      <c r="A92" s="14">
        <f>ROUND('📦 PRODUCT INPUTS'!G10*0.8,0)</f>
        <v>9600</v>
      </c>
      <c r="B92" s="14">
        <f>IFERROR('📦 PRODUCT INPUTS'!D10*A92+'⚖ MAKE OR BUY'!B24,0)</f>
        <v>126000</v>
      </c>
      <c r="C92" s="14">
        <f>IFERROR('⚖ MAKE OR BUY'!D24*A92,0)</f>
        <v>172800</v>
      </c>
      <c r="D92" s="14">
        <f t="shared" si="12"/>
        <v>-46800</v>
      </c>
      <c r="E92" s="53" t="str">
        <f t="shared" si="13"/>
        <v>🟢 Make cheaper</v>
      </c>
    </row>
    <row r="93" spans="1:5" ht="19.5" customHeight="1" x14ac:dyDescent="0.25">
      <c r="A93" s="13">
        <f>ROUND('📦 PRODUCT INPUTS'!G10*1,0)</f>
        <v>12000</v>
      </c>
      <c r="B93" s="13">
        <f>IFERROR('📦 PRODUCT INPUTS'!D10*A93+'⚖ MAKE OR BUY'!B24,0)</f>
        <v>150000</v>
      </c>
      <c r="C93" s="13">
        <f>IFERROR('⚖ MAKE OR BUY'!D24*A93,0)</f>
        <v>216000</v>
      </c>
      <c r="D93" s="13">
        <f t="shared" si="12"/>
        <v>-66000</v>
      </c>
      <c r="E93" s="54" t="str">
        <f t="shared" si="13"/>
        <v>🟢 Make cheaper</v>
      </c>
    </row>
    <row r="94" spans="1:5" ht="19.5" customHeight="1" x14ac:dyDescent="0.25">
      <c r="A94" s="14">
        <f>ROUND('📦 PRODUCT INPUTS'!G10*1.2,0)</f>
        <v>14400</v>
      </c>
      <c r="B94" s="14">
        <f>IFERROR('📦 PRODUCT INPUTS'!D10*A94+'⚖ MAKE OR BUY'!B24,0)</f>
        <v>174000</v>
      </c>
      <c r="C94" s="14">
        <f>IFERROR('⚖ MAKE OR BUY'!D24*A94,0)</f>
        <v>259200</v>
      </c>
      <c r="D94" s="14">
        <f t="shared" si="12"/>
        <v>-85200</v>
      </c>
      <c r="E94" s="53" t="str">
        <f t="shared" si="13"/>
        <v>🟢 Make cheaper</v>
      </c>
    </row>
    <row r="95" spans="1:5" ht="19.5" customHeight="1" x14ac:dyDescent="0.25">
      <c r="A95" s="14">
        <f>ROUND('📦 PRODUCT INPUTS'!G10*1.4,0)</f>
        <v>16800</v>
      </c>
      <c r="B95" s="14">
        <f>IFERROR('📦 PRODUCT INPUTS'!D10*A95+'⚖ MAKE OR BUY'!B24,0)</f>
        <v>198000</v>
      </c>
      <c r="C95" s="14">
        <f>IFERROR('⚖ MAKE OR BUY'!D24*A95,0)</f>
        <v>302400</v>
      </c>
      <c r="D95" s="14">
        <f t="shared" si="12"/>
        <v>-104400</v>
      </c>
      <c r="E95" s="53" t="str">
        <f t="shared" si="13"/>
        <v>🟢 Make cheaper</v>
      </c>
    </row>
    <row r="96" spans="1:5" ht="19.5" customHeight="1" x14ac:dyDescent="0.25">
      <c r="A96" s="14">
        <f>ROUND('📦 PRODUCT INPUTS'!G10*1.6,0)</f>
        <v>19200</v>
      </c>
      <c r="B96" s="14">
        <f>IFERROR('📦 PRODUCT INPUTS'!D10*A96+'⚖ MAKE OR BUY'!B24,0)</f>
        <v>222000</v>
      </c>
      <c r="C96" s="14">
        <f>IFERROR('⚖ MAKE OR BUY'!D24*A96,0)</f>
        <v>345600</v>
      </c>
      <c r="D96" s="14">
        <f t="shared" si="12"/>
        <v>-123600</v>
      </c>
      <c r="E96" s="53" t="str">
        <f t="shared" si="13"/>
        <v>🟢 Make cheaper</v>
      </c>
    </row>
    <row r="97" spans="1:5" ht="19.5" customHeight="1" x14ac:dyDescent="0.25">
      <c r="A97" s="14">
        <f>ROUND('📦 PRODUCT INPUTS'!G10*1.8,0)</f>
        <v>21600</v>
      </c>
      <c r="B97" s="14">
        <f>IFERROR('📦 PRODUCT INPUTS'!D10*A97+'⚖ MAKE OR BUY'!B24,0)</f>
        <v>246000</v>
      </c>
      <c r="C97" s="14">
        <f>IFERROR('⚖ MAKE OR BUY'!D24*A97,0)</f>
        <v>388800</v>
      </c>
      <c r="D97" s="14">
        <f t="shared" si="12"/>
        <v>-142800</v>
      </c>
      <c r="E97" s="53" t="str">
        <f t="shared" si="13"/>
        <v>🟢 Make cheaper</v>
      </c>
    </row>
    <row r="98" spans="1:5" ht="19.5" customHeight="1" x14ac:dyDescent="0.25">
      <c r="A98" s="14">
        <f>ROUND('📦 PRODUCT INPUTS'!G10*2,0)</f>
        <v>24000</v>
      </c>
      <c r="B98" s="14">
        <f>IFERROR('📦 PRODUCT INPUTS'!D10*A98+'⚖ MAKE OR BUY'!B24,0)</f>
        <v>270000</v>
      </c>
      <c r="C98" s="14">
        <f>IFERROR('⚖ MAKE OR BUY'!D24*A98,0)</f>
        <v>432000</v>
      </c>
      <c r="D98" s="14">
        <f t="shared" si="12"/>
        <v>-162000</v>
      </c>
      <c r="E98" s="53" t="str">
        <f t="shared" si="13"/>
        <v>🟢 Make cheaper</v>
      </c>
    </row>
    <row r="99" spans="1:5" ht="15" customHeight="1" x14ac:dyDescent="0.25">
      <c r="A99" s="55" t="s">
        <v>169</v>
      </c>
      <c r="B99" s="55"/>
      <c r="C99" s="55"/>
      <c r="D99" s="55"/>
      <c r="E99" s="55"/>
    </row>
    <row r="101" spans="1:5" ht="21.75" customHeight="1" x14ac:dyDescent="0.25">
      <c r="A101" s="30" t="s">
        <v>176</v>
      </c>
      <c r="B101" s="30"/>
      <c r="C101" s="30"/>
      <c r="D101" s="30"/>
      <c r="E101" s="30"/>
    </row>
    <row r="102" spans="1:5" ht="24" customHeight="1" x14ac:dyDescent="0.25">
      <c r="A102" s="5" t="s">
        <v>164</v>
      </c>
      <c r="B102" s="5" t="s">
        <v>165</v>
      </c>
      <c r="C102" s="5" t="s">
        <v>166</v>
      </c>
      <c r="D102" s="5" t="s">
        <v>167</v>
      </c>
      <c r="E102" s="5" t="s">
        <v>168</v>
      </c>
    </row>
    <row r="103" spans="1:5" ht="19.5" customHeight="1" x14ac:dyDescent="0.25">
      <c r="A103" s="14">
        <f>ROUND('📦 PRODUCT INPUTS'!G11*0.2,0)</f>
        <v>300</v>
      </c>
      <c r="B103" s="14">
        <f>IFERROR('📦 PRODUCT INPUTS'!D11*A103+'⚖ MAKE OR BUY'!B27,0)</f>
        <v>163500</v>
      </c>
      <c r="C103" s="14">
        <f>IFERROR('⚖ MAKE OR BUY'!D27*A103,0)</f>
        <v>55500</v>
      </c>
      <c r="D103" s="14">
        <f t="shared" ref="D103:D112" si="14">B103-C103</f>
        <v>108000</v>
      </c>
      <c r="E103" s="53" t="str">
        <f t="shared" ref="E103:E112" si="15">IF(B103&lt;C103,"🟢 Make cheaper","🔴 Buy cheaper")</f>
        <v>🔴 Buy cheaper</v>
      </c>
    </row>
    <row r="104" spans="1:5" ht="19.5" customHeight="1" x14ac:dyDescent="0.25">
      <c r="A104" s="14">
        <f>ROUND('📦 PRODUCT INPUTS'!G11*0.4,0)</f>
        <v>600</v>
      </c>
      <c r="B104" s="14">
        <f>IFERROR('📦 PRODUCT INPUTS'!D11*A104+'⚖ MAKE OR BUY'!B27,0)</f>
        <v>207000</v>
      </c>
      <c r="C104" s="14">
        <f>IFERROR('⚖ MAKE OR BUY'!D27*A104,0)</f>
        <v>111000</v>
      </c>
      <c r="D104" s="14">
        <f t="shared" si="14"/>
        <v>96000</v>
      </c>
      <c r="E104" s="53" t="str">
        <f t="shared" si="15"/>
        <v>🔴 Buy cheaper</v>
      </c>
    </row>
    <row r="105" spans="1:5" ht="19.5" customHeight="1" x14ac:dyDescent="0.25">
      <c r="A105" s="14">
        <f>ROUND('📦 PRODUCT INPUTS'!G11*0.6,0)</f>
        <v>900</v>
      </c>
      <c r="B105" s="14">
        <f>IFERROR('📦 PRODUCT INPUTS'!D11*A105+'⚖ MAKE OR BUY'!B27,0)</f>
        <v>250500</v>
      </c>
      <c r="C105" s="14">
        <f>IFERROR('⚖ MAKE OR BUY'!D27*A105,0)</f>
        <v>166500</v>
      </c>
      <c r="D105" s="14">
        <f t="shared" si="14"/>
        <v>84000</v>
      </c>
      <c r="E105" s="53" t="str">
        <f t="shared" si="15"/>
        <v>🔴 Buy cheaper</v>
      </c>
    </row>
    <row r="106" spans="1:5" ht="19.5" customHeight="1" x14ac:dyDescent="0.25">
      <c r="A106" s="14">
        <f>ROUND('📦 PRODUCT INPUTS'!G11*0.8,0)</f>
        <v>1200</v>
      </c>
      <c r="B106" s="14">
        <f>IFERROR('📦 PRODUCT INPUTS'!D11*A106+'⚖ MAKE OR BUY'!B27,0)</f>
        <v>294000</v>
      </c>
      <c r="C106" s="14">
        <f>IFERROR('⚖ MAKE OR BUY'!D27*A106,0)</f>
        <v>222000</v>
      </c>
      <c r="D106" s="14">
        <f t="shared" si="14"/>
        <v>72000</v>
      </c>
      <c r="E106" s="53" t="str">
        <f t="shared" si="15"/>
        <v>🔴 Buy cheaper</v>
      </c>
    </row>
    <row r="107" spans="1:5" ht="19.5" customHeight="1" x14ac:dyDescent="0.25">
      <c r="A107" s="13">
        <f>ROUND('📦 PRODUCT INPUTS'!G11*1,0)</f>
        <v>1500</v>
      </c>
      <c r="B107" s="13">
        <f>IFERROR('📦 PRODUCT INPUTS'!D11*A107+'⚖ MAKE OR BUY'!B27,0)</f>
        <v>337500</v>
      </c>
      <c r="C107" s="13">
        <f>IFERROR('⚖ MAKE OR BUY'!D27*A107,0)</f>
        <v>277500</v>
      </c>
      <c r="D107" s="13">
        <f t="shared" si="14"/>
        <v>60000</v>
      </c>
      <c r="E107" s="54" t="str">
        <f t="shared" si="15"/>
        <v>🔴 Buy cheaper</v>
      </c>
    </row>
    <row r="108" spans="1:5" ht="19.5" customHeight="1" x14ac:dyDescent="0.25">
      <c r="A108" s="14">
        <f>ROUND('📦 PRODUCT INPUTS'!G11*1.2,0)</f>
        <v>1800</v>
      </c>
      <c r="B108" s="14">
        <f>IFERROR('📦 PRODUCT INPUTS'!D11*A108+'⚖ MAKE OR BUY'!B27,0)</f>
        <v>381000</v>
      </c>
      <c r="C108" s="14">
        <f>IFERROR('⚖ MAKE OR BUY'!D27*A108,0)</f>
        <v>333000</v>
      </c>
      <c r="D108" s="14">
        <f t="shared" si="14"/>
        <v>48000</v>
      </c>
      <c r="E108" s="53" t="str">
        <f t="shared" si="15"/>
        <v>🔴 Buy cheaper</v>
      </c>
    </row>
    <row r="109" spans="1:5" ht="19.5" customHeight="1" x14ac:dyDescent="0.25">
      <c r="A109" s="14">
        <f>ROUND('📦 PRODUCT INPUTS'!G11*1.4,0)</f>
        <v>2100</v>
      </c>
      <c r="B109" s="14">
        <f>IFERROR('📦 PRODUCT INPUTS'!D11*A109+'⚖ MAKE OR BUY'!B27,0)</f>
        <v>424500</v>
      </c>
      <c r="C109" s="14">
        <f>IFERROR('⚖ MAKE OR BUY'!D27*A109,0)</f>
        <v>388500</v>
      </c>
      <c r="D109" s="14">
        <f t="shared" si="14"/>
        <v>36000</v>
      </c>
      <c r="E109" s="53" t="str">
        <f t="shared" si="15"/>
        <v>🔴 Buy cheaper</v>
      </c>
    </row>
    <row r="110" spans="1:5" ht="19.5" customHeight="1" x14ac:dyDescent="0.25">
      <c r="A110" s="14">
        <f>ROUND('📦 PRODUCT INPUTS'!G11*1.6,0)</f>
        <v>2400</v>
      </c>
      <c r="B110" s="14">
        <f>IFERROR('📦 PRODUCT INPUTS'!D11*A110+'⚖ MAKE OR BUY'!B27,0)</f>
        <v>468000</v>
      </c>
      <c r="C110" s="14">
        <f>IFERROR('⚖ MAKE OR BUY'!D27*A110,0)</f>
        <v>444000</v>
      </c>
      <c r="D110" s="14">
        <f t="shared" si="14"/>
        <v>24000</v>
      </c>
      <c r="E110" s="53" t="str">
        <f t="shared" si="15"/>
        <v>🔴 Buy cheaper</v>
      </c>
    </row>
    <row r="111" spans="1:5" ht="19.5" customHeight="1" x14ac:dyDescent="0.25">
      <c r="A111" s="14">
        <f>ROUND('📦 PRODUCT INPUTS'!G11*1.8,0)</f>
        <v>2700</v>
      </c>
      <c r="B111" s="14">
        <f>IFERROR('📦 PRODUCT INPUTS'!D11*A111+'⚖ MAKE OR BUY'!B27,0)</f>
        <v>511500</v>
      </c>
      <c r="C111" s="14">
        <f>IFERROR('⚖ MAKE OR BUY'!D27*A111,0)</f>
        <v>499500</v>
      </c>
      <c r="D111" s="14">
        <f t="shared" si="14"/>
        <v>12000</v>
      </c>
      <c r="E111" s="53" t="str">
        <f t="shared" si="15"/>
        <v>🔴 Buy cheaper</v>
      </c>
    </row>
    <row r="112" spans="1:5" ht="19.5" customHeight="1" x14ac:dyDescent="0.25">
      <c r="A112" s="14">
        <f>ROUND('📦 PRODUCT INPUTS'!G11*2,0)</f>
        <v>3000</v>
      </c>
      <c r="B112" s="14">
        <f>IFERROR('📦 PRODUCT INPUTS'!D11*A112+'⚖ MAKE OR BUY'!B27,0)</f>
        <v>555000</v>
      </c>
      <c r="C112" s="14">
        <f>IFERROR('⚖ MAKE OR BUY'!D27*A112,0)</f>
        <v>555000</v>
      </c>
      <c r="D112" s="14">
        <f t="shared" si="14"/>
        <v>0</v>
      </c>
      <c r="E112" s="53" t="str">
        <f t="shared" si="15"/>
        <v>🔴 Buy cheaper</v>
      </c>
    </row>
    <row r="113" spans="1:5" ht="15" customHeight="1" x14ac:dyDescent="0.25">
      <c r="A113" s="55" t="s">
        <v>169</v>
      </c>
      <c r="B113" s="55"/>
      <c r="C113" s="55"/>
      <c r="D113" s="55"/>
      <c r="E113" s="55"/>
    </row>
    <row r="114" spans="1:5" ht="48.75" customHeight="1" x14ac:dyDescent="0.25">
      <c r="A114" s="46" t="s">
        <v>222</v>
      </c>
      <c r="B114" s="46"/>
      <c r="C114" s="46"/>
      <c r="D114" s="46"/>
      <c r="E114" s="46"/>
    </row>
  </sheetData>
  <mergeCells count="19">
    <mergeCell ref="A99:E99"/>
    <mergeCell ref="A101:E101"/>
    <mergeCell ref="A113:E113"/>
    <mergeCell ref="A114:E114"/>
    <mergeCell ref="A59:E59"/>
    <mergeCell ref="A71:E71"/>
    <mergeCell ref="A73:E73"/>
    <mergeCell ref="A85:E85"/>
    <mergeCell ref="A87:E87"/>
    <mergeCell ref="A29:E29"/>
    <mergeCell ref="A31:E31"/>
    <mergeCell ref="A43:E43"/>
    <mergeCell ref="A45:E45"/>
    <mergeCell ref="A57:E57"/>
    <mergeCell ref="A1:E1"/>
    <mergeCell ref="A2:E2"/>
    <mergeCell ref="A3:E3"/>
    <mergeCell ref="A15:E15"/>
    <mergeCell ref="A17:E17"/>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E86C1"/>
  </sheetPr>
  <dimension ref="A1:B41"/>
  <sheetViews>
    <sheetView zoomScaleNormal="100" workbookViewId="0">
      <selection activeCell="A7" sqref="A7:B7"/>
    </sheetView>
  </sheetViews>
  <sheetFormatPr defaultColWidth="8.7109375" defaultRowHeight="12" x14ac:dyDescent="0.2"/>
  <cols>
    <col min="1" max="1" width="6" style="48" customWidth="1"/>
    <col min="2" max="2" width="96" style="48" customWidth="1"/>
    <col min="3" max="16384" width="8.7109375" style="48"/>
  </cols>
  <sheetData>
    <row r="1" spans="1:2" ht="30" customHeight="1" x14ac:dyDescent="0.2">
      <c r="A1" s="1" t="s">
        <v>177</v>
      </c>
      <c r="B1" s="1"/>
    </row>
    <row r="2" spans="1:2" ht="15" customHeight="1" x14ac:dyDescent="0.2">
      <c r="A2" s="49"/>
    </row>
    <row r="3" spans="1:2" ht="19.5" customHeight="1" x14ac:dyDescent="0.2">
      <c r="A3" s="50" t="s">
        <v>178</v>
      </c>
      <c r="B3" s="50"/>
    </row>
    <row r="4" spans="1:2" ht="19.5" customHeight="1" x14ac:dyDescent="0.2">
      <c r="A4" s="51" t="s">
        <v>179</v>
      </c>
      <c r="B4" s="51"/>
    </row>
    <row r="5" spans="1:2" ht="56.25" customHeight="1" x14ac:dyDescent="0.2">
      <c r="A5" s="47" t="s">
        <v>180</v>
      </c>
      <c r="B5" s="47"/>
    </row>
    <row r="6" spans="1:2" ht="19.5" customHeight="1" x14ac:dyDescent="0.2">
      <c r="A6" s="51" t="s">
        <v>181</v>
      </c>
      <c r="B6" s="51"/>
    </row>
    <row r="7" spans="1:2" ht="39.75" customHeight="1" x14ac:dyDescent="0.2">
      <c r="A7" s="47" t="s">
        <v>182</v>
      </c>
      <c r="B7" s="47"/>
    </row>
    <row r="8" spans="1:2" ht="19.5" customHeight="1" x14ac:dyDescent="0.2">
      <c r="A8" s="51" t="s">
        <v>183</v>
      </c>
      <c r="B8" s="51"/>
    </row>
    <row r="9" spans="1:2" ht="39.75" customHeight="1" x14ac:dyDescent="0.2">
      <c r="A9" s="47" t="s">
        <v>184</v>
      </c>
      <c r="B9" s="47"/>
    </row>
    <row r="10" spans="1:2" ht="19.5" customHeight="1" x14ac:dyDescent="0.2">
      <c r="A10" s="51" t="s">
        <v>185</v>
      </c>
      <c r="B10" s="51"/>
    </row>
    <row r="11" spans="1:2" ht="39.75" customHeight="1" x14ac:dyDescent="0.2">
      <c r="A11" s="47" t="s">
        <v>186</v>
      </c>
      <c r="B11" s="47"/>
    </row>
    <row r="12" spans="1:2" ht="19.5" customHeight="1" x14ac:dyDescent="0.2">
      <c r="A12" s="51" t="s">
        <v>187</v>
      </c>
      <c r="B12" s="51"/>
    </row>
    <row r="13" spans="1:2" ht="51.75" customHeight="1" x14ac:dyDescent="0.2">
      <c r="A13" s="47" t="s">
        <v>188</v>
      </c>
      <c r="B13" s="47"/>
    </row>
    <row r="14" spans="1:2" ht="19.5" customHeight="1" x14ac:dyDescent="0.2">
      <c r="A14" s="51" t="s">
        <v>189</v>
      </c>
      <c r="B14" s="51"/>
    </row>
    <row r="15" spans="1:2" ht="39.75" customHeight="1" x14ac:dyDescent="0.2">
      <c r="A15" s="47" t="s">
        <v>190</v>
      </c>
      <c r="B15" s="47"/>
    </row>
    <row r="16" spans="1:2" ht="19.5" customHeight="1" x14ac:dyDescent="0.2">
      <c r="A16" s="51" t="s">
        <v>191</v>
      </c>
      <c r="B16" s="51"/>
    </row>
    <row r="17" spans="1:2" ht="39.75" customHeight="1" x14ac:dyDescent="0.2">
      <c r="A17" s="47" t="s">
        <v>192</v>
      </c>
      <c r="B17" s="47"/>
    </row>
    <row r="18" spans="1:2" ht="19.5" customHeight="1" x14ac:dyDescent="0.2">
      <c r="A18" s="51" t="s">
        <v>193</v>
      </c>
      <c r="B18" s="51"/>
    </row>
    <row r="19" spans="1:2" ht="39.75" customHeight="1" x14ac:dyDescent="0.2">
      <c r="A19" s="47" t="s">
        <v>194</v>
      </c>
      <c r="B19" s="47"/>
    </row>
    <row r="20" spans="1:2" ht="39.75" customHeight="1" x14ac:dyDescent="0.2">
      <c r="A20" s="49"/>
    </row>
    <row r="21" spans="1:2" ht="19.5" customHeight="1" x14ac:dyDescent="0.2">
      <c r="A21" s="50" t="s">
        <v>195</v>
      </c>
      <c r="B21" s="50"/>
    </row>
    <row r="22" spans="1:2" ht="39.75" customHeight="1" x14ac:dyDescent="0.2">
      <c r="A22" s="47" t="s">
        <v>196</v>
      </c>
      <c r="B22" s="47"/>
    </row>
    <row r="23" spans="1:2" ht="39.75" customHeight="1" x14ac:dyDescent="0.2">
      <c r="A23" s="47" t="s">
        <v>197</v>
      </c>
      <c r="B23" s="47"/>
    </row>
    <row r="24" spans="1:2" ht="39.75" customHeight="1" x14ac:dyDescent="0.2">
      <c r="A24" s="47" t="s">
        <v>198</v>
      </c>
      <c r="B24" s="47"/>
    </row>
    <row r="25" spans="1:2" ht="39.75" customHeight="1" x14ac:dyDescent="0.2">
      <c r="A25" s="47" t="s">
        <v>199</v>
      </c>
      <c r="B25" s="47"/>
    </row>
    <row r="26" spans="1:2" ht="39.75" customHeight="1" x14ac:dyDescent="0.2">
      <c r="A26" s="47" t="s">
        <v>200</v>
      </c>
      <c r="B26" s="47"/>
    </row>
    <row r="27" spans="1:2" ht="39.75" customHeight="1" x14ac:dyDescent="0.2">
      <c r="A27" s="47" t="s">
        <v>201</v>
      </c>
      <c r="B27" s="47"/>
    </row>
    <row r="28" spans="1:2" ht="15" customHeight="1" x14ac:dyDescent="0.2">
      <c r="A28" s="49"/>
    </row>
    <row r="29" spans="1:2" ht="19.5" customHeight="1" x14ac:dyDescent="0.2">
      <c r="A29" s="50" t="s">
        <v>202</v>
      </c>
      <c r="B29" s="50"/>
    </row>
    <row r="30" spans="1:2" ht="39.75" customHeight="1" x14ac:dyDescent="0.2">
      <c r="A30" s="47" t="s">
        <v>203</v>
      </c>
      <c r="B30" s="47"/>
    </row>
    <row r="31" spans="1:2" ht="39.75" customHeight="1" x14ac:dyDescent="0.2">
      <c r="A31" s="49"/>
    </row>
    <row r="32" spans="1:2" ht="19.5" customHeight="1" x14ac:dyDescent="0.2">
      <c r="A32" s="50" t="s">
        <v>204</v>
      </c>
      <c r="B32" s="50"/>
    </row>
    <row r="33" spans="1:2" ht="39.75" customHeight="1" x14ac:dyDescent="0.2">
      <c r="A33" s="47" t="s">
        <v>205</v>
      </c>
      <c r="B33" s="47"/>
    </row>
    <row r="34" spans="1:2" ht="39.75" customHeight="1" x14ac:dyDescent="0.2">
      <c r="A34" s="47" t="s">
        <v>206</v>
      </c>
      <c r="B34" s="47"/>
    </row>
    <row r="35" spans="1:2" ht="39.75" customHeight="1" x14ac:dyDescent="0.2">
      <c r="A35" s="49"/>
    </row>
    <row r="36" spans="1:2" ht="19.5" customHeight="1" x14ac:dyDescent="0.2">
      <c r="A36" s="50" t="s">
        <v>207</v>
      </c>
      <c r="B36" s="50"/>
    </row>
    <row r="37" spans="1:2" ht="39.75" customHeight="1" x14ac:dyDescent="0.2">
      <c r="A37" s="47" t="s">
        <v>208</v>
      </c>
      <c r="B37" s="47"/>
    </row>
    <row r="38" spans="1:2" ht="39.75" customHeight="1" x14ac:dyDescent="0.2">
      <c r="A38" s="47" t="s">
        <v>209</v>
      </c>
      <c r="B38" s="47"/>
    </row>
    <row r="39" spans="1:2" ht="39.75" customHeight="1" x14ac:dyDescent="0.2">
      <c r="A39" s="47" t="s">
        <v>210</v>
      </c>
      <c r="B39" s="47"/>
    </row>
    <row r="41" spans="1:2" ht="15.75" customHeight="1" x14ac:dyDescent="0.2">
      <c r="A41" s="52" t="s">
        <v>211</v>
      </c>
      <c r="B41" s="52"/>
    </row>
  </sheetData>
  <mergeCells count="35">
    <mergeCell ref="A36:B36"/>
    <mergeCell ref="A37:B37"/>
    <mergeCell ref="A38:B38"/>
    <mergeCell ref="A39:B39"/>
    <mergeCell ref="A41:B41"/>
    <mergeCell ref="A29:B29"/>
    <mergeCell ref="A30:B30"/>
    <mergeCell ref="A32:B32"/>
    <mergeCell ref="A33:B33"/>
    <mergeCell ref="A34:B34"/>
    <mergeCell ref="A23:B23"/>
    <mergeCell ref="A24:B24"/>
    <mergeCell ref="A25:B25"/>
    <mergeCell ref="A26:B26"/>
    <mergeCell ref="A27:B27"/>
    <mergeCell ref="A17:B17"/>
    <mergeCell ref="A18:B18"/>
    <mergeCell ref="A19:B19"/>
    <mergeCell ref="A21:B21"/>
    <mergeCell ref="A22:B22"/>
    <mergeCell ref="A12:B12"/>
    <mergeCell ref="A13:B13"/>
    <mergeCell ref="A14:B14"/>
    <mergeCell ref="A15:B15"/>
    <mergeCell ref="A16:B16"/>
    <mergeCell ref="A7:B7"/>
    <mergeCell ref="A8:B8"/>
    <mergeCell ref="A9:B9"/>
    <mergeCell ref="A10:B10"/>
    <mergeCell ref="A11:B11"/>
    <mergeCell ref="A1:B1"/>
    <mergeCell ref="A3:B3"/>
    <mergeCell ref="A4:B4"/>
    <mergeCell ref="A5:B5"/>
    <mergeCell ref="A6:B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 COVER</vt:lpstr>
      <vt:lpstr>⚙ SETUP</vt:lpstr>
      <vt:lpstr>📦 PRODUCT INPUTS</vt:lpstr>
      <vt:lpstr>⚖ MAKE OR BUY</vt:lpstr>
      <vt:lpstr>📊 SENSITIVITY</vt:lpstr>
      <vt:lpstr>📖 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madhu roy</cp:lastModifiedBy>
  <cp:revision>0</cp:revision>
  <dcterms:created xsi:type="dcterms:W3CDTF">2026-09-12T15:03:18Z</dcterms:created>
  <dcterms:modified xsi:type="dcterms:W3CDTF">2026-09-12T17:47:50Z</dcterms:modified>
  <dc:language>en-US</dc:language>
</cp:coreProperties>
</file>