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CER Data website\MAYA\CAMSROY website\Excel Template\cma TEMPLATE\"/>
    </mc:Choice>
  </mc:AlternateContent>
  <xr:revisionPtr revIDLastSave="0" documentId="13_ncr:1_{C3CE629E-A98A-4B37-836B-460651466B80}" xr6:coauthVersionLast="47" xr6:coauthVersionMax="47" xr10:uidLastSave="{00000000-0000-0000-0000-000000000000}"/>
  <bookViews>
    <workbookView xWindow="-120" yWindow="-120" windowWidth="25440" windowHeight="15270" tabRatio="500" activeTab="2" xr2:uid="{00000000-000D-0000-FFFF-FFFF00000000}"/>
  </bookViews>
  <sheets>
    <sheet name="🏠 COVER" sheetId="1" r:id="rId1"/>
    <sheet name="⚙ SETUP" sheetId="2" r:id="rId2"/>
    <sheet name="📑 SUMMARY FOR BANK" sheetId="3" r:id="rId3"/>
    <sheet name="📊 FORM I — BALANCE SHEET" sheetId="4" r:id="rId4"/>
    <sheet name="📋 FORM II — P&amp;L" sheetId="5" r:id="rId5"/>
    <sheet name="📦 FORM III — CA &amp; CL" sheetId="6" r:id="rId6"/>
    <sheet name="🏦 FORM IV-V — MPBF" sheetId="7" r:id="rId7"/>
    <sheet name="💰 FORM VI — FUND FLOW" sheetId="8" r:id="rId8"/>
    <sheet name="📈 FORM VII — RATIOS" sheetId="9" r:id="rId9"/>
    <sheet name="📖 HOW TO USE" sheetId="10" r:id="rId10"/>
  </sheets>
  <definedNames>
    <definedName name="_xlnm.Print_Area" localSheetId="6">'🏦 FORM IV-V — MPBF'!$A$1:$H$30</definedName>
    <definedName name="_xlnm.Print_Area" localSheetId="7">'💰 FORM VI — FUND FLOW'!$A$1:$H$32</definedName>
    <definedName name="_xlnm.Print_Area" localSheetId="8">'📈 FORM VII — RATIOS'!$A$1:$H$25</definedName>
    <definedName name="_xlnm.Print_Area" localSheetId="3">'📊 FORM I — BALANCE SHEET'!$A$1:$H$65</definedName>
    <definedName name="_xlnm.Print_Area" localSheetId="4">'📋 FORM II — P&amp;L'!$A$1:$H$54</definedName>
    <definedName name="_xlnm.Print_Area" localSheetId="2">'📑 SUMMARY FOR BANK'!$A$1:$H$43</definedName>
    <definedName name="_xlnm.Print_Area" localSheetId="5">'📦 FORM III — CA &amp; CL'!$A$1:$H$30</definedName>
    <definedName name="_xlnm.Print_Titles" localSheetId="6">'🏦 FORM IV-V — MPBF'!$1:$3</definedName>
    <definedName name="_xlnm.Print_Titles" localSheetId="7">'💰 FORM VI — FUND FLOW'!$1:$3</definedName>
    <definedName name="_xlnm.Print_Titles" localSheetId="8">'📈 FORM VII — RATIOS'!$1:$3</definedName>
    <definedName name="_xlnm.Print_Titles" localSheetId="3">'📊 FORM I — BALANCE SHEET'!$1:$3</definedName>
    <definedName name="_xlnm.Print_Titles" localSheetId="4">'📋 FORM II — P&amp;L'!$1:$3</definedName>
    <definedName name="_xlnm.Print_Titles" localSheetId="2">'📑 SUMMARY FOR BANK'!$1:$3</definedName>
    <definedName name="_xlnm.Print_Titles" localSheetId="5">'📦 FORM III — CA &amp; CL'!$1:$3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9" i="9" l="1"/>
  <c r="C9" i="9"/>
  <c r="B9" i="9"/>
  <c r="G8" i="9"/>
  <c r="F8" i="9"/>
  <c r="E8" i="9"/>
  <c r="D8" i="9"/>
  <c r="G18" i="8"/>
  <c r="F18" i="8"/>
  <c r="E18" i="8"/>
  <c r="D18" i="8"/>
  <c r="C18" i="8"/>
  <c r="B18" i="8"/>
  <c r="G6" i="8"/>
  <c r="F6" i="8"/>
  <c r="E6" i="8"/>
  <c r="D6" i="8"/>
  <c r="C6" i="8"/>
  <c r="B6" i="8"/>
  <c r="G24" i="7"/>
  <c r="F24" i="7"/>
  <c r="E24" i="7"/>
  <c r="D24" i="7"/>
  <c r="C24" i="7"/>
  <c r="B24" i="7"/>
  <c r="G24" i="6"/>
  <c r="F24" i="6"/>
  <c r="E24" i="6"/>
  <c r="D24" i="6"/>
  <c r="C24" i="6"/>
  <c r="B24" i="6"/>
  <c r="G23" i="6"/>
  <c r="F23" i="6"/>
  <c r="E23" i="6"/>
  <c r="D23" i="6"/>
  <c r="C23" i="6"/>
  <c r="B23" i="6"/>
  <c r="G22" i="6"/>
  <c r="F22" i="6"/>
  <c r="E22" i="6"/>
  <c r="D22" i="6"/>
  <c r="C22" i="6"/>
  <c r="B22" i="6"/>
  <c r="G20" i="6"/>
  <c r="F20" i="6"/>
  <c r="E20" i="6"/>
  <c r="D20" i="6"/>
  <c r="C20" i="6"/>
  <c r="B20" i="6"/>
  <c r="G16" i="6"/>
  <c r="F16" i="6"/>
  <c r="E16" i="6"/>
  <c r="D16" i="6"/>
  <c r="C16" i="6"/>
  <c r="B16" i="6"/>
  <c r="G15" i="6"/>
  <c r="F15" i="6"/>
  <c r="E15" i="6"/>
  <c r="D15" i="6"/>
  <c r="C15" i="6"/>
  <c r="B15" i="6"/>
  <c r="G14" i="6"/>
  <c r="F14" i="6"/>
  <c r="E14" i="6"/>
  <c r="D14" i="6"/>
  <c r="C14" i="6"/>
  <c r="B14" i="6"/>
  <c r="G12" i="6"/>
  <c r="G13" i="6" s="1"/>
  <c r="F12" i="6"/>
  <c r="F13" i="6" s="1"/>
  <c r="E12" i="6"/>
  <c r="E13" i="6" s="1"/>
  <c r="D12" i="6"/>
  <c r="D13" i="6" s="1"/>
  <c r="C12" i="6"/>
  <c r="C13" i="6" s="1"/>
  <c r="B12" i="6"/>
  <c r="B13" i="6" s="1"/>
  <c r="G11" i="6"/>
  <c r="F11" i="6"/>
  <c r="E11" i="6"/>
  <c r="D11" i="6"/>
  <c r="C11" i="6"/>
  <c r="B11" i="6"/>
  <c r="G9" i="6"/>
  <c r="F9" i="6"/>
  <c r="E9" i="6"/>
  <c r="D9" i="6"/>
  <c r="C9" i="6"/>
  <c r="B9" i="6"/>
  <c r="G7" i="6"/>
  <c r="F7" i="6"/>
  <c r="E7" i="6"/>
  <c r="D7" i="6"/>
  <c r="C7" i="6"/>
  <c r="B7" i="6"/>
  <c r="G5" i="6"/>
  <c r="F5" i="6"/>
  <c r="E5" i="6"/>
  <c r="D5" i="6"/>
  <c r="C5" i="6"/>
  <c r="B5" i="6"/>
  <c r="G40" i="5"/>
  <c r="F40" i="5"/>
  <c r="E40" i="5"/>
  <c r="D40" i="5"/>
  <c r="C40" i="5"/>
  <c r="B40" i="5"/>
  <c r="G26" i="5"/>
  <c r="F26" i="5"/>
  <c r="E26" i="5"/>
  <c r="D26" i="5"/>
  <c r="C26" i="5"/>
  <c r="B26" i="5"/>
  <c r="G15" i="5"/>
  <c r="G18" i="5" s="1"/>
  <c r="F15" i="5"/>
  <c r="F18" i="5" s="1"/>
  <c r="E15" i="5"/>
  <c r="E18" i="5" s="1"/>
  <c r="D15" i="5"/>
  <c r="D18" i="5" s="1"/>
  <c r="C15" i="5"/>
  <c r="C18" i="5" s="1"/>
  <c r="B15" i="5"/>
  <c r="B18" i="5" s="1"/>
  <c r="G7" i="5"/>
  <c r="F7" i="5"/>
  <c r="E7" i="5"/>
  <c r="D7" i="5"/>
  <c r="C7" i="5"/>
  <c r="B7" i="5"/>
  <c r="G63" i="4"/>
  <c r="F63" i="4"/>
  <c r="E63" i="4"/>
  <c r="D63" i="4"/>
  <c r="C63" i="4"/>
  <c r="B63" i="4"/>
  <c r="G61" i="4"/>
  <c r="F61" i="4"/>
  <c r="E61" i="4"/>
  <c r="D61" i="4"/>
  <c r="C61" i="4"/>
  <c r="D53" i="4"/>
  <c r="C53" i="4"/>
  <c r="B53" i="4"/>
  <c r="G51" i="4"/>
  <c r="F51" i="4"/>
  <c r="E51" i="4"/>
  <c r="D51" i="4"/>
  <c r="C51" i="4"/>
  <c r="B51" i="4"/>
  <c r="G42" i="4"/>
  <c r="F42" i="4"/>
  <c r="E42" i="4"/>
  <c r="D42" i="4"/>
  <c r="C42" i="4"/>
  <c r="B42" i="4"/>
  <c r="G35" i="4"/>
  <c r="F35" i="4"/>
  <c r="E35" i="4"/>
  <c r="D35" i="4"/>
  <c r="C35" i="4"/>
  <c r="C8" i="9" s="1"/>
  <c r="C24" i="3" s="1"/>
  <c r="B35" i="4"/>
  <c r="B8" i="9" s="1"/>
  <c r="B24" i="3" s="1"/>
  <c r="G21" i="4"/>
  <c r="G26" i="4" s="1"/>
  <c r="F21" i="4"/>
  <c r="F26" i="4" s="1"/>
  <c r="E21" i="4"/>
  <c r="E26" i="4" s="1"/>
  <c r="D21" i="4"/>
  <c r="D26" i="4" s="1"/>
  <c r="C21" i="4"/>
  <c r="C26" i="4" s="1"/>
  <c r="B21" i="4"/>
  <c r="B26" i="4" s="1"/>
  <c r="G8" i="4"/>
  <c r="G14" i="4" s="1"/>
  <c r="G28" i="4" s="1"/>
  <c r="F8" i="4"/>
  <c r="F14" i="4" s="1"/>
  <c r="F28" i="4" s="1"/>
  <c r="E8" i="4"/>
  <c r="E14" i="4" s="1"/>
  <c r="E28" i="4" s="1"/>
  <c r="D8" i="4"/>
  <c r="D14" i="4" s="1"/>
  <c r="D28" i="4" s="1"/>
  <c r="C8" i="4"/>
  <c r="C14" i="4" s="1"/>
  <c r="B8" i="4"/>
  <c r="B14" i="4" s="1"/>
  <c r="F41" i="3"/>
  <c r="C41" i="3"/>
  <c r="G34" i="3"/>
  <c r="F34" i="3"/>
  <c r="E34" i="3"/>
  <c r="D34" i="3"/>
  <c r="C34" i="3"/>
  <c r="B34" i="3"/>
  <c r="D33" i="3"/>
  <c r="C33" i="3"/>
  <c r="B33" i="3"/>
  <c r="G32" i="3"/>
  <c r="F32" i="3"/>
  <c r="E32" i="3"/>
  <c r="D32" i="3"/>
  <c r="C32" i="3"/>
  <c r="B32" i="3"/>
  <c r="G31" i="3"/>
  <c r="F31" i="3"/>
  <c r="E31" i="3"/>
  <c r="D31" i="3"/>
  <c r="C31" i="3"/>
  <c r="B31" i="3"/>
  <c r="G24" i="3"/>
  <c r="F24" i="3"/>
  <c r="E24" i="3"/>
  <c r="D24" i="3"/>
  <c r="D23" i="3"/>
  <c r="C23" i="3"/>
  <c r="B23" i="3"/>
  <c r="G17" i="3"/>
  <c r="F17" i="3"/>
  <c r="E17" i="3"/>
  <c r="D17" i="3"/>
  <c r="C17" i="3"/>
  <c r="B17" i="3"/>
  <c r="G5" i="3"/>
  <c r="F5" i="3"/>
  <c r="E5" i="3"/>
  <c r="D5" i="3"/>
  <c r="C5" i="3"/>
  <c r="B5" i="3"/>
  <c r="A2" i="3"/>
  <c r="C42" i="2"/>
  <c r="C24" i="2"/>
  <c r="C23" i="2"/>
  <c r="C22" i="2"/>
  <c r="C21" i="2"/>
  <c r="C20" i="2"/>
  <c r="C19" i="2"/>
  <c r="C21" i="1"/>
  <c r="C20" i="1"/>
  <c r="C19" i="1"/>
  <c r="C18" i="1"/>
  <c r="C17" i="1"/>
  <c r="C16" i="1"/>
  <c r="C15" i="1"/>
  <c r="C14" i="1"/>
  <c r="C13" i="1"/>
  <c r="C12" i="1"/>
  <c r="G21" i="6" l="1"/>
  <c r="G25" i="6"/>
  <c r="G6" i="7" s="1"/>
  <c r="F21" i="6"/>
  <c r="F25" i="6"/>
  <c r="F6" i="7" s="1"/>
  <c r="E21" i="6"/>
  <c r="E25" i="6"/>
  <c r="E6" i="7" s="1"/>
  <c r="D21" i="6"/>
  <c r="D25" i="6"/>
  <c r="D6" i="7" s="1"/>
  <c r="C25" i="6"/>
  <c r="C6" i="7" s="1"/>
  <c r="C21" i="6"/>
  <c r="B25" i="6"/>
  <c r="B6" i="7" s="1"/>
  <c r="B21" i="6"/>
  <c r="G6" i="6"/>
  <c r="G17" i="6"/>
  <c r="F17" i="6"/>
  <c r="F6" i="6"/>
  <c r="E17" i="6"/>
  <c r="E6" i="6"/>
  <c r="D17" i="6"/>
  <c r="D6" i="6"/>
  <c r="C17" i="6"/>
  <c r="C6" i="6"/>
  <c r="B17" i="6"/>
  <c r="B6" i="6"/>
  <c r="G17" i="9"/>
  <c r="G18" i="9"/>
  <c r="G21" i="5"/>
  <c r="G28" i="5" s="1"/>
  <c r="G19" i="9"/>
  <c r="G28" i="3" s="1"/>
  <c r="F17" i="9"/>
  <c r="F18" i="9"/>
  <c r="F19" i="9"/>
  <c r="F28" i="3" s="1"/>
  <c r="F21" i="5"/>
  <c r="F28" i="5" s="1"/>
  <c r="E21" i="5"/>
  <c r="E28" i="5" s="1"/>
  <c r="E17" i="9"/>
  <c r="E18" i="9"/>
  <c r="E19" i="9"/>
  <c r="E28" i="3" s="1"/>
  <c r="D17" i="9"/>
  <c r="D18" i="9"/>
  <c r="D19" i="9"/>
  <c r="D28" i="3" s="1"/>
  <c r="D21" i="5"/>
  <c r="D28" i="5" s="1"/>
  <c r="C19" i="9"/>
  <c r="C28" i="3" s="1"/>
  <c r="C21" i="5"/>
  <c r="C28" i="5" s="1"/>
  <c r="C18" i="9"/>
  <c r="C17" i="9"/>
  <c r="B18" i="9"/>
  <c r="B19" i="9"/>
  <c r="B28" i="3" s="1"/>
  <c r="B17" i="9"/>
  <c r="B21" i="5"/>
  <c r="B28" i="5" s="1"/>
  <c r="G53" i="4"/>
  <c r="G9" i="9"/>
  <c r="G23" i="3" s="1"/>
  <c r="G33" i="3"/>
  <c r="F53" i="4"/>
  <c r="F9" i="9"/>
  <c r="F23" i="3" s="1"/>
  <c r="F33" i="3"/>
  <c r="E9" i="9"/>
  <c r="E23" i="3" s="1"/>
  <c r="E33" i="3"/>
  <c r="E53" i="4"/>
  <c r="G57" i="4"/>
  <c r="G36" i="3" s="1"/>
  <c r="G5" i="9"/>
  <c r="G22" i="3" s="1"/>
  <c r="G6" i="9"/>
  <c r="G62" i="4"/>
  <c r="G35" i="3"/>
  <c r="F57" i="4"/>
  <c r="F36" i="3" s="1"/>
  <c r="F5" i="9"/>
  <c r="F22" i="3" s="1"/>
  <c r="F6" i="9"/>
  <c r="F62" i="4"/>
  <c r="F35" i="3"/>
  <c r="E57" i="4"/>
  <c r="E36" i="3" s="1"/>
  <c r="E5" i="9"/>
  <c r="E22" i="3" s="1"/>
  <c r="E6" i="9"/>
  <c r="E62" i="4"/>
  <c r="E35" i="3"/>
  <c r="D57" i="4"/>
  <c r="D36" i="3" s="1"/>
  <c r="D5" i="9"/>
  <c r="D22" i="3" s="1"/>
  <c r="D6" i="9"/>
  <c r="D62" i="4"/>
  <c r="D35" i="3"/>
  <c r="C57" i="4"/>
  <c r="C36" i="3" s="1"/>
  <c r="C5" i="9"/>
  <c r="C22" i="3" s="1"/>
  <c r="C6" i="9"/>
  <c r="C62" i="4"/>
  <c r="C35" i="3"/>
  <c r="B57" i="4"/>
  <c r="B36" i="3" s="1"/>
  <c r="B5" i="9"/>
  <c r="B22" i="3" s="1"/>
  <c r="B6" i="9"/>
  <c r="B62" i="4"/>
  <c r="B35" i="3"/>
  <c r="G55" i="4"/>
  <c r="G60" i="4"/>
  <c r="F55" i="4"/>
  <c r="F60" i="4"/>
  <c r="E55" i="4"/>
  <c r="E60" i="4"/>
  <c r="D60" i="4"/>
  <c r="D55" i="4"/>
  <c r="G3" i="5"/>
  <c r="G3" i="6"/>
  <c r="G3" i="4"/>
  <c r="G21" i="3"/>
  <c r="G3" i="3"/>
  <c r="G3" i="8"/>
  <c r="G3" i="7"/>
  <c r="G3" i="9"/>
  <c r="F3" i="4"/>
  <c r="F3" i="9"/>
  <c r="F3" i="6"/>
  <c r="F3" i="8"/>
  <c r="F3" i="7"/>
  <c r="F21" i="3"/>
  <c r="F3" i="5"/>
  <c r="F3" i="3"/>
  <c r="E3" i="8"/>
  <c r="E3" i="9"/>
  <c r="E3" i="6"/>
  <c r="E3" i="4"/>
  <c r="E3" i="7"/>
  <c r="E3" i="5"/>
  <c r="E21" i="3"/>
  <c r="E3" i="3"/>
  <c r="D3" i="9"/>
  <c r="D3" i="8"/>
  <c r="D3" i="6"/>
  <c r="D3" i="5"/>
  <c r="D3" i="4"/>
  <c r="D21" i="3"/>
  <c r="D3" i="7"/>
  <c r="D3" i="3"/>
  <c r="C3" i="9"/>
  <c r="C3" i="5"/>
  <c r="C3" i="6"/>
  <c r="C3" i="7"/>
  <c r="C3" i="8"/>
  <c r="C3" i="4"/>
  <c r="C21" i="3"/>
  <c r="C3" i="3"/>
  <c r="B3" i="9"/>
  <c r="B21" i="3"/>
  <c r="B3" i="8"/>
  <c r="B3" i="6"/>
  <c r="B3" i="5"/>
  <c r="B3" i="4"/>
  <c r="B3" i="7"/>
  <c r="B3" i="3"/>
  <c r="G10" i="6"/>
  <c r="F10" i="6"/>
  <c r="E10" i="6"/>
  <c r="D10" i="6"/>
  <c r="C10" i="6"/>
  <c r="B10" i="6"/>
  <c r="G8" i="6"/>
  <c r="F8" i="6"/>
  <c r="E8" i="6"/>
  <c r="D8" i="6"/>
  <c r="C8" i="6"/>
  <c r="B8" i="6"/>
  <c r="C28" i="4"/>
  <c r="B28" i="4"/>
  <c r="G18" i="7" l="1"/>
  <c r="G13" i="3"/>
  <c r="F18" i="7"/>
  <c r="F13" i="3"/>
  <c r="E18" i="7"/>
  <c r="E13" i="3"/>
  <c r="D18" i="7"/>
  <c r="D13" i="3"/>
  <c r="C18" i="7"/>
  <c r="C13" i="3"/>
  <c r="B18" i="7"/>
  <c r="B13" i="3"/>
  <c r="G27" i="6"/>
  <c r="G5" i="7"/>
  <c r="F27" i="6"/>
  <c r="F5" i="7"/>
  <c r="E27" i="6"/>
  <c r="E5" i="7"/>
  <c r="D27" i="6"/>
  <c r="D5" i="7"/>
  <c r="C27" i="6"/>
  <c r="C5" i="7"/>
  <c r="B27" i="6"/>
  <c r="B5" i="7"/>
  <c r="G11" i="9"/>
  <c r="G27" i="3" s="1"/>
  <c r="G14" i="9"/>
  <c r="G26" i="3" s="1"/>
  <c r="G6" i="3"/>
  <c r="G30" i="5"/>
  <c r="G7" i="3" s="1"/>
  <c r="G34" i="5"/>
  <c r="G42" i="5" s="1"/>
  <c r="G46" i="5" s="1"/>
  <c r="F30" i="5"/>
  <c r="F7" i="3" s="1"/>
  <c r="F34" i="5"/>
  <c r="F42" i="5" s="1"/>
  <c r="F46" i="5" s="1"/>
  <c r="F11" i="9"/>
  <c r="F27" i="3" s="1"/>
  <c r="F14" i="9"/>
  <c r="F26" i="3" s="1"/>
  <c r="F6" i="3"/>
  <c r="E34" i="5"/>
  <c r="E42" i="5" s="1"/>
  <c r="E46" i="5" s="1"/>
  <c r="E30" i="5"/>
  <c r="E7" i="3" s="1"/>
  <c r="E11" i="9"/>
  <c r="E27" i="3" s="1"/>
  <c r="E14" i="9"/>
  <c r="E26" i="3" s="1"/>
  <c r="E6" i="3"/>
  <c r="D30" i="5"/>
  <c r="D7" i="3" s="1"/>
  <c r="D34" i="5"/>
  <c r="D42" i="5" s="1"/>
  <c r="D46" i="5" s="1"/>
  <c r="D11" i="9"/>
  <c r="D27" i="3" s="1"/>
  <c r="D14" i="9"/>
  <c r="D26" i="3" s="1"/>
  <c r="D6" i="3"/>
  <c r="C30" i="5"/>
  <c r="C7" i="3" s="1"/>
  <c r="C11" i="9"/>
  <c r="C27" i="3" s="1"/>
  <c r="C14" i="9"/>
  <c r="C26" i="3" s="1"/>
  <c r="C6" i="3"/>
  <c r="C34" i="5"/>
  <c r="C42" i="5" s="1"/>
  <c r="C46" i="5" s="1"/>
  <c r="B30" i="5"/>
  <c r="B7" i="3" s="1"/>
  <c r="B34" i="5"/>
  <c r="B42" i="5" s="1"/>
  <c r="B46" i="5" s="1"/>
  <c r="B11" i="9"/>
  <c r="B27" i="3" s="1"/>
  <c r="B14" i="9"/>
  <c r="B26" i="3" s="1"/>
  <c r="B6" i="3"/>
  <c r="C60" i="4"/>
  <c r="C55" i="4"/>
  <c r="B60" i="4"/>
  <c r="B55" i="4"/>
  <c r="G7" i="7" l="1"/>
  <c r="G17" i="7"/>
  <c r="G19" i="7" s="1"/>
  <c r="G20" i="7"/>
  <c r="G21" i="7"/>
  <c r="G12" i="3"/>
  <c r="F7" i="7"/>
  <c r="F17" i="7"/>
  <c r="F19" i="7" s="1"/>
  <c r="F20" i="7"/>
  <c r="F21" i="7"/>
  <c r="F12" i="3"/>
  <c r="E7" i="7"/>
  <c r="E17" i="7"/>
  <c r="E19" i="7" s="1"/>
  <c r="E21" i="7" s="1"/>
  <c r="E20" i="7"/>
  <c r="E12" i="3"/>
  <c r="D7" i="7"/>
  <c r="D17" i="7"/>
  <c r="D19" i="7" s="1"/>
  <c r="D20" i="7"/>
  <c r="D21" i="7"/>
  <c r="D12" i="3"/>
  <c r="C7" i="7"/>
  <c r="C17" i="7"/>
  <c r="C19" i="7" s="1"/>
  <c r="C20" i="7"/>
  <c r="C21" i="7"/>
  <c r="C12" i="3"/>
  <c r="B7" i="7"/>
  <c r="B17" i="7"/>
  <c r="B19" i="7" s="1"/>
  <c r="B20" i="7"/>
  <c r="B21" i="7"/>
  <c r="B12" i="3"/>
  <c r="G49" i="5"/>
  <c r="G12" i="9"/>
  <c r="G8" i="3"/>
  <c r="G5" i="8"/>
  <c r="G7" i="8" s="1"/>
  <c r="G11" i="8" s="1"/>
  <c r="G20" i="8" s="1"/>
  <c r="F49" i="5"/>
  <c r="F5" i="8"/>
  <c r="F7" i="8" s="1"/>
  <c r="F11" i="8" s="1"/>
  <c r="F20" i="8" s="1"/>
  <c r="F12" i="9"/>
  <c r="F8" i="3"/>
  <c r="E49" i="5"/>
  <c r="E5" i="8"/>
  <c r="E7" i="8" s="1"/>
  <c r="E11" i="8" s="1"/>
  <c r="E20" i="8" s="1"/>
  <c r="E12" i="9"/>
  <c r="E8" i="3"/>
  <c r="D5" i="8"/>
  <c r="D7" i="8" s="1"/>
  <c r="D11" i="8" s="1"/>
  <c r="D20" i="8" s="1"/>
  <c r="D12" i="9"/>
  <c r="D8" i="3"/>
  <c r="D49" i="5"/>
  <c r="C49" i="5"/>
  <c r="C12" i="9"/>
  <c r="C8" i="3"/>
  <c r="C5" i="8"/>
  <c r="C7" i="8" s="1"/>
  <c r="C11" i="8" s="1"/>
  <c r="C20" i="8" s="1"/>
  <c r="B49" i="5"/>
  <c r="B5" i="8"/>
  <c r="B7" i="8" s="1"/>
  <c r="B11" i="8" s="1"/>
  <c r="B20" i="8" s="1"/>
  <c r="B12" i="9"/>
  <c r="B8" i="3"/>
  <c r="G11" i="7" l="1"/>
  <c r="G12" i="7"/>
  <c r="G21" i="9"/>
  <c r="G14" i="3"/>
  <c r="G26" i="7"/>
  <c r="G16" i="3"/>
  <c r="G18" i="3"/>
  <c r="F11" i="7"/>
  <c r="F12" i="7"/>
  <c r="F21" i="9"/>
  <c r="F14" i="3"/>
  <c r="F26" i="7"/>
  <c r="F16" i="3"/>
  <c r="F18" i="3"/>
  <c r="E11" i="7"/>
  <c r="E12" i="7"/>
  <c r="E21" i="9"/>
  <c r="E14" i="3"/>
  <c r="E26" i="7"/>
  <c r="E16" i="3"/>
  <c r="E18" i="3"/>
  <c r="D11" i="7"/>
  <c r="D12" i="7"/>
  <c r="D21" i="9"/>
  <c r="D14" i="3"/>
  <c r="D26" i="7"/>
  <c r="D16" i="3"/>
  <c r="D18" i="3"/>
  <c r="C11" i="7"/>
  <c r="C12" i="7"/>
  <c r="C21" i="9"/>
  <c r="C14" i="3"/>
  <c r="C26" i="7"/>
  <c r="C16" i="3"/>
  <c r="C18" i="3"/>
  <c r="B11" i="7"/>
  <c r="B12" i="7"/>
  <c r="B21" i="9"/>
  <c r="B14" i="3"/>
  <c r="B26" i="7"/>
  <c r="B16" i="3"/>
  <c r="B18" i="3"/>
  <c r="G15" i="9"/>
  <c r="G25" i="3" s="1"/>
  <c r="G9" i="3"/>
  <c r="G52" i="5"/>
  <c r="F52" i="5"/>
  <c r="F15" i="9"/>
  <c r="F25" i="3" s="1"/>
  <c r="F9" i="3"/>
  <c r="E15" i="9"/>
  <c r="E25" i="3" s="1"/>
  <c r="E9" i="3"/>
  <c r="E52" i="5"/>
  <c r="D52" i="5"/>
  <c r="D15" i="9"/>
  <c r="D25" i="3" s="1"/>
  <c r="D9" i="3"/>
  <c r="C15" i="9"/>
  <c r="C25" i="3" s="1"/>
  <c r="C9" i="3"/>
  <c r="C52" i="5"/>
  <c r="B52" i="5"/>
  <c r="B15" i="9"/>
  <c r="B25" i="3" s="1"/>
  <c r="B9" i="3"/>
  <c r="G13" i="7" l="1"/>
  <c r="G25" i="7"/>
  <c r="G15" i="3"/>
  <c r="F13" i="7"/>
  <c r="F25" i="7"/>
  <c r="F15" i="3"/>
  <c r="E13" i="7"/>
  <c r="E25" i="7"/>
  <c r="E15" i="3"/>
  <c r="D13" i="7"/>
  <c r="D25" i="7"/>
  <c r="D15" i="3"/>
  <c r="C13" i="7"/>
  <c r="C25" i="7"/>
  <c r="C15" i="3"/>
  <c r="B13" i="7"/>
  <c r="B25" i="7"/>
  <c r="B15" i="3"/>
</calcChain>
</file>

<file path=xl/sharedStrings.xml><?xml version="1.0" encoding="utf-8"?>
<sst xmlns="http://schemas.openxmlformats.org/spreadsheetml/2006/main" count="488" uniqueCount="444">
  <si>
    <t>📋  camsroy.com</t>
  </si>
  <si>
    <t>CMA Data Template  |  IBA Format  |  For Indian Bank Credit Proposals</t>
  </si>
  <si>
    <t>CREDIT MONITORING
ARRANGEMENT (CMA) DATA</t>
  </si>
  <si>
    <t>Company / Borrower Name</t>
  </si>
  <si>
    <t>Nature of Business / Industry</t>
  </si>
  <si>
    <t>Constitution</t>
  </si>
  <si>
    <t>PAN</t>
  </si>
  <si>
    <t>GSTIN</t>
  </si>
  <si>
    <t>Bank / Branch Name</t>
  </si>
  <si>
    <t>Type of Facility</t>
  </si>
  <si>
    <t>Facility Amount Sought (₹ Lakhs)</t>
  </si>
  <si>
    <t>Prepared By (CA / Analyst)</t>
  </si>
  <si>
    <t>Date of Preparation</t>
  </si>
  <si>
    <t>📋  WORKBOOK NAVIGATION</t>
  </si>
  <si>
    <t>⚙  SETUP</t>
  </si>
  <si>
    <t xml:space="preserve">  Company details, period, tax rate, operating cycle assumptions</t>
  </si>
  <si>
    <t>📊  FORM I — BALANCE SHEET</t>
  </si>
  <si>
    <t xml:space="preserve">  6-year comparative balance sheet (actual + projected)</t>
  </si>
  <si>
    <t>📋  FORM II — P&amp;L</t>
  </si>
  <si>
    <t xml:space="preserve">  Operating Statement: Revenue → EBITDA → PAT → Cash Accruals</t>
  </si>
  <si>
    <t>📦  FORM III — CA &amp; CL</t>
  </si>
  <si>
    <t xml:space="preserve">  Detailed current assets and liabilities with holding days</t>
  </si>
  <si>
    <t>🏦  FORM IV-V — MPBF</t>
  </si>
  <si>
    <t xml:space="preserve">  WC Assessment + Tandon Method I &amp; II MPBF Calculation</t>
  </si>
  <si>
    <t>💰  FORM VI — FUND FLOW</t>
  </si>
  <si>
    <t xml:space="preserve">  Sources and application of long-term funds</t>
  </si>
  <si>
    <t>📈  FORM VII — RATIOS</t>
  </si>
  <si>
    <t xml:space="preserve">  Current Ratio, TOL/TNW, DSCR, Coverage, Margins</t>
  </si>
  <si>
    <t>📖  HOW TO USE</t>
  </si>
  <si>
    <t xml:space="preserve">  CA guide: MPBF norms, Tandon rules, common bank queries</t>
  </si>
  <si>
    <t>© camsroy.com  |  Free for personal &amp; commercial use  |  www.camsroy.com</t>
  </si>
  <si>
    <t>⚙  camsroy.com  |  SETUP — Company Details, Period &amp; Operating Cycle Assumptions</t>
  </si>
  <si>
    <t>Blue = Input. All CMA forms derive from inputs here.</t>
  </si>
  <si>
    <t>🏢  A. COMPANY IDENTIFICATION</t>
  </si>
  <si>
    <t>Parameter</t>
  </si>
  <si>
    <t>Value</t>
  </si>
  <si>
    <t>Notes</t>
  </si>
  <si>
    <t>Pinnacle Agro Industries Pvt Ltd</t>
  </si>
  <si>
    <t>As per Memorandum / Partnership Deed</t>
  </si>
  <si>
    <t>Food Processing / Agro-based Manufacturing</t>
  </si>
  <si>
    <t>Enter sector and product</t>
  </si>
  <si>
    <t>Private Limited Company</t>
  </si>
  <si>
    <t>Pvt Ltd / Public Ltd / Partnership / Proprietorship / LLP</t>
  </si>
  <si>
    <t>AABCP1234F</t>
  </si>
  <si>
    <t>Permanent Account Number</t>
  </si>
  <si>
    <t>07AABCP1234F1Z5</t>
  </si>
  <si>
    <t>GST Registration Number</t>
  </si>
  <si>
    <t>State Bank of India, Commercial Branch, Rohini, Delhi</t>
  </si>
  <si>
    <t>Lender bank and branch</t>
  </si>
  <si>
    <t>Cash Credit (CC) + Term Loan</t>
  </si>
  <si>
    <t>CC / OD / WCTL / TL / LC / BG</t>
  </si>
  <si>
    <t>Total credit limit requested</t>
  </si>
  <si>
    <t>M/s. Roy &amp; Associates, Chartered Accountants, Membership No. 123456</t>
  </si>
  <si>
    <t>Name and registration number</t>
  </si>
  <si>
    <t>30-Sep-2025</t>
  </si>
  <si>
    <t>Date of CMA submission</t>
  </si>
  <si>
    <t>📅  B. PERIOD — Year Labels (2 Actual + 1 Estimated + 3 Projected)</t>
  </si>
  <si>
    <t>Base Financial Year (latest actual year end, e.g. 2024)</t>
  </si>
  <si>
    <t>Enter the year ending of the most recent audited accounts.</t>
  </si>
  <si>
    <t>FY-2 Year Label</t>
  </si>
  <si>
    <t>2 years before base</t>
  </si>
  <si>
    <t>FY-1 Year Label</t>
  </si>
  <si>
    <t>1 year before base (latest audited)</t>
  </si>
  <si>
    <t>Current Year Label</t>
  </si>
  <si>
    <t>Current / provisional accounts</t>
  </si>
  <si>
    <t>Year +1 Label</t>
  </si>
  <si>
    <t>Bank assessment year 1</t>
  </si>
  <si>
    <t>Year +2 Label</t>
  </si>
  <si>
    <t>Bank assessment year 2</t>
  </si>
  <si>
    <t>Year +3 Label</t>
  </si>
  <si>
    <t>Bank assessment year 3</t>
  </si>
  <si>
    <t>⚙  C. FINANCIAL ASSUMPTIONS</t>
  </si>
  <si>
    <t>Corporate Tax Rate</t>
  </si>
  <si>
    <t>25.17% incl. surcharge+cess (Sec 115BAA)</t>
  </si>
  <si>
    <t>Units</t>
  </si>
  <si>
    <t>₹ Lakhs</t>
  </si>
  <si>
    <t>All CMA figures in this unit</t>
  </si>
  <si>
    <t>🔄  D. OPERATING CYCLE ASSUMPTIONS (for MPBF calculation)</t>
  </si>
  <si>
    <t>Item</t>
  </si>
  <si>
    <t>Days (Input)</t>
  </si>
  <si>
    <t>Notes / Formula</t>
  </si>
  <si>
    <t>Raw Material Holding (days)</t>
  </si>
  <si>
    <t>Inventory days — RM held at factory. RM Consumed × days/365</t>
  </si>
  <si>
    <t>Work-in-Progress (WIP) (days)</t>
  </si>
  <si>
    <t>Manufacturing cycle — days in production. Cost of Production × days/365</t>
  </si>
  <si>
    <t>Finished Goods Holding (days)</t>
  </si>
  <si>
    <t>FG storage before dispatch. Cost of Sales × days/365</t>
  </si>
  <si>
    <t>Debtors / Receivable Collection (days)</t>
  </si>
  <si>
    <t>Credit period given to customers. Net Sales × days/365</t>
  </si>
  <si>
    <t>Advance to Suppliers (days)</t>
  </si>
  <si>
    <t>Prepayments to vendors if any. RM × days/365</t>
  </si>
  <si>
    <t>Other Current Assets (days)</t>
  </si>
  <si>
    <t>Other CA not covered above</t>
  </si>
  <si>
    <t>Creditors / Payable Days</t>
  </si>
  <si>
    <t>Credit period received from suppliers. RM Purchased × days/365</t>
  </si>
  <si>
    <t>Advance from Customers (days)</t>
  </si>
  <si>
    <t>Customer advances received. Net Sales × days/365</t>
  </si>
  <si>
    <t>Statutory / Other CL (days)</t>
  </si>
  <si>
    <t>Statutory dues, salaries payable etc. Total Opex × days/365</t>
  </si>
  <si>
    <t>TOTAL OPERATING CYCLE (days)</t>
  </si>
  <si>
    <t>Net operating cycle = CA days - CL days. Positive = NWC needed.</t>
  </si>
  <si>
    <t>ℹ  MPBF Norms (Tandon Committee — RBI): Method I = 75% of NWC from bank. Method II = 75% of CA – CL (higher). Required Current Ratio ≥ 1.33 post MPBF. PSU banks generally follow Method II. SBI uses MPBF for CC limit sanction.</t>
  </si>
  <si>
    <t>📑  camsroy.com  |  CREDIT APPRAISAL SUMMARY FOR BANKER</t>
  </si>
  <si>
    <t>Particulars (₹ Lakhs)</t>
  </si>
  <si>
    <t>Norm / Remark</t>
  </si>
  <si>
    <t>B.  FINANCIAL PERFORMANCE TREND  (₹ Lakhs)</t>
  </si>
  <si>
    <t>Net Sales / Revenue</t>
  </si>
  <si>
    <t>EBITDA</t>
  </si>
  <si>
    <t>Primary profitability</t>
  </si>
  <si>
    <t>EBITDA Margin (%)</t>
  </si>
  <si>
    <t>Improving = good credit</t>
  </si>
  <si>
    <t>PAT (Profit After Tax)</t>
  </si>
  <si>
    <t>Cash Accruals (PAT + Dep)</t>
  </si>
  <si>
    <t>Repayment capacity</t>
  </si>
  <si>
    <t>C.  WORKING CAPITAL ASSESSMENT &amp; MPBF  (₹ Lakhs)</t>
  </si>
  <si>
    <t>Total Current Assets (TCA)</t>
  </si>
  <si>
    <t>Gross WC requirement</t>
  </si>
  <si>
    <t>Total Current Liabilities (TCL)</t>
  </si>
  <si>
    <t>Excl. bank borrowings</t>
  </si>
  <si>
    <t>Net Working Capital (NWC)</t>
  </si>
  <si>
    <t>TCA - TCL</t>
  </si>
  <si>
    <t>MPBF — Method I (75% of NWC)</t>
  </si>
  <si>
    <t>Higher MPBF, CR&lt;1.33</t>
  </si>
  <si>
    <t>MPBF — Method II (75%×TCA-TCL)</t>
  </si>
  <si>
    <t>Lower MPBF, CR=1.33 ← USE THIS</t>
  </si>
  <si>
    <t>Existing / Proposed CC/OD Limit</t>
  </si>
  <si>
    <t>From Form I</t>
  </si>
  <si>
    <t>CC Utilisation vs Method II MPBF</t>
  </si>
  <si>
    <t>Must be within MPBF for CC sanction</t>
  </si>
  <si>
    <t>D.  KEY FINANCIAL RATIOS</t>
  </si>
  <si>
    <t>Ratio</t>
  </si>
  <si>
    <t>Norm</t>
  </si>
  <si>
    <t>Current Ratio (must be ≥ 1.33)</t>
  </si>
  <si>
    <t>≥ 1.33 (RBI)</t>
  </si>
  <si>
    <t>TOL / TNW</t>
  </si>
  <si>
    <t>≤ 4:1</t>
  </si>
  <si>
    <t>Debt-Equity Ratio</t>
  </si>
  <si>
    <t>≤ 3:1</t>
  </si>
  <si>
    <t>DSCR (Term Loan repayment capacity)</t>
  </si>
  <si>
    <t>≥ 1.25</t>
  </si>
  <si>
    <t>Interest Coverage Ratio</t>
  </si>
  <si>
    <t>≥ 2.0x</t>
  </si>
  <si>
    <t>Industry norm</t>
  </si>
  <si>
    <t>Debtor Days</t>
  </si>
  <si>
    <t>≤ agreed credit period</t>
  </si>
  <si>
    <t>E.  BALANCE SHEET SNAPSHOT  (₹ Lakhs)</t>
  </si>
  <si>
    <t>Tangible Net Worth (TNW)</t>
  </si>
  <si>
    <t>Equity base</t>
  </si>
  <si>
    <t>Total Term Debt (NCL)</t>
  </si>
  <si>
    <t>Long-term borrowings</t>
  </si>
  <si>
    <t>Total Current Liabilities</t>
  </si>
  <si>
    <t>Incl. CC/OD</t>
  </si>
  <si>
    <t>Net Fixed Assets</t>
  </si>
  <si>
    <t>Net Block</t>
  </si>
  <si>
    <t>Total Current Assets</t>
  </si>
  <si>
    <t>Gross WC</t>
  </si>
  <si>
    <t>Net Working Capital (CA-CL)</t>
  </si>
  <si>
    <t>F.  CERTIFICATE BY CHARTERED ACCOUNTANT</t>
  </si>
  <si>
    <t>I/We hereby certify that the above information has been prepared on the basis of audited accounts / books of accounts of the borrower and is true and correct to the best of my/our knowledge and belief.</t>
  </si>
  <si>
    <t>CA Firm Name &amp; Registration:</t>
  </si>
  <si>
    <t>Date:</t>
  </si>
  <si>
    <t>ℹ  This is a machine-generated CMA Summary. Verify all figures against audited accounts before submission. For complete Forms I-VII, see the respective tabs in this workbook.  |  © camsroy.com</t>
  </si>
  <si>
    <t>📊  camsroy.com  |  FORM I — COMPARATIVE BALANCE SHEET  (₹ Lakhs)</t>
  </si>
  <si>
    <t>2 Actual + 1 Estimated + 3 Projected. Enter audited figures for actual years; estimated for current year; link to projections for future years.</t>
  </si>
  <si>
    <t>Remarks / Working</t>
  </si>
  <si>
    <t>ASSETS</t>
  </si>
  <si>
    <t>A. NON-CURRENT ASSETS</t>
  </si>
  <si>
    <t>Gross Block (PPE at Cost)</t>
  </si>
  <si>
    <t>Opening + additions during year</t>
  </si>
  <si>
    <t>Less: Accumulated Depreciation</t>
  </si>
  <si>
    <t>Net Fixed Assets / Net Block</t>
  </si>
  <si>
    <t>Net PPE after accumulated dep</t>
  </si>
  <si>
    <t>Capital WIP (CWIP)</t>
  </si>
  <si>
    <t>Under construction assets</t>
  </si>
  <si>
    <t>Intangible Assets (net)</t>
  </si>
  <si>
    <t>Goodwill, patents, software etc.</t>
  </si>
  <si>
    <t>Long-Term Investments</t>
  </si>
  <si>
    <t>In subsidiaries, associates</t>
  </si>
  <si>
    <t>Deferred Tax Asset</t>
  </si>
  <si>
    <t>Other Non-Current Assets</t>
  </si>
  <si>
    <t>Security deposits, long-term loans</t>
  </si>
  <si>
    <t>TOTAL NON-CURRENT ASSETS</t>
  </si>
  <si>
    <t>B. CURRENT ASSETS</t>
  </si>
  <si>
    <t>Inventories — Raw Material</t>
  </si>
  <si>
    <t>At cost, as per stock statement</t>
  </si>
  <si>
    <t>Inventories — Work-in-Progress</t>
  </si>
  <si>
    <t>Inventories — Finished Goods</t>
  </si>
  <si>
    <t>Inventories — Stores &amp; Spares</t>
  </si>
  <si>
    <t xml:space="preserve">  Total Inventories</t>
  </si>
  <si>
    <t>Trade Receivables / Debtors</t>
  </si>
  <si>
    <t>Net of provision for doubtful debts</t>
  </si>
  <si>
    <t>Cash &amp; Cash Equivalents</t>
  </si>
  <si>
    <t>Cash, bank balances, liquid FD</t>
  </si>
  <si>
    <t>Short-Term Loans &amp; Advances</t>
  </si>
  <si>
    <t>Advance to suppliers, prepaid</t>
  </si>
  <si>
    <t>Other Current Assets</t>
  </si>
  <si>
    <t>Recoverable dues, GST refund receivable</t>
  </si>
  <si>
    <t>TOTAL CURRENT ASSETS</t>
  </si>
  <si>
    <t>TOTAL ASSETS</t>
  </si>
  <si>
    <t>Must equal Total Equity &amp; Liabilities</t>
  </si>
  <si>
    <t>EQUITY &amp; LIABILITIES</t>
  </si>
  <si>
    <t>C. EQUITY / NET WORTH</t>
  </si>
  <si>
    <t>Share Capital (Paid-up)</t>
  </si>
  <si>
    <t>Reserves &amp; Surplus</t>
  </si>
  <si>
    <t>General reserve + retained earnings</t>
  </si>
  <si>
    <t>Less: Intangible Assets / Goodwill (if deducted)</t>
  </si>
  <si>
    <t>To arrive at Tangible Net Worth</t>
  </si>
  <si>
    <t>TANGIBLE NET WORTH (TNW)</t>
  </si>
  <si>
    <t>Key banker metric: basis for TOL/TNW ratio</t>
  </si>
  <si>
    <t>D. NON-CURRENT LIABILITIES</t>
  </si>
  <si>
    <t>Term Loans from Banks</t>
  </si>
  <si>
    <t>Long-term portion only</t>
  </si>
  <si>
    <t>Term Loans from Others (NBFCs, DFIs)</t>
  </si>
  <si>
    <t>Deferred Tax Liability</t>
  </si>
  <si>
    <t>Other Long-Term Liabilities</t>
  </si>
  <si>
    <t>TOTAL NON-CURRENT LIABILITIES</t>
  </si>
  <si>
    <t>E. CURRENT LIABILITIES</t>
  </si>
  <si>
    <t>Current Maturity of Term Loan (CMTL)</t>
  </si>
  <si>
    <t>TL instalment due this year</t>
  </si>
  <si>
    <t>Bank Borrowings — Working Capital (CC/OD)</t>
  </si>
  <si>
    <t>Cash Credit, OD outstanding</t>
  </si>
  <si>
    <t>Trade Payables / Creditors</t>
  </si>
  <si>
    <t>Sundry creditors for purchases</t>
  </si>
  <si>
    <t>Advance from Customers</t>
  </si>
  <si>
    <t>Statutory Dues (TDS, GST, PF, ESI)</t>
  </si>
  <si>
    <t>Other Current Liabilities</t>
  </si>
  <si>
    <t>Salaries payable, expenses payable</t>
  </si>
  <si>
    <t>TOTAL CURRENT LIABILITIES</t>
  </si>
  <si>
    <t>TOTAL EQUITY &amp; LIABILITIES</t>
  </si>
  <si>
    <t>⚖ BALANCE SHEET CHECK (Assets = Equity &amp; Liabilities)</t>
  </si>
  <si>
    <t>Net Working Capital (CA - CL)</t>
  </si>
  <si>
    <t>Positive NWC = comfortable working capital position</t>
  </si>
  <si>
    <t>⚠  INPUT VALIDATION — CHECK ALL BEFORE BANK SUBMISSION</t>
  </si>
  <si>
    <t xml:space="preserve">  BS Tally Check</t>
  </si>
  <si>
    <t>Balance Sheet must balance. Resolve before submission to bank.</t>
  </si>
  <si>
    <t xml:space="preserve">  Accumulated Dep ↑</t>
  </si>
  <si>
    <t>"First year — N/A"</t>
  </si>
  <si>
    <t>Accumulated Depreciation must increase (or stay same) each year.</t>
  </si>
  <si>
    <t xml:space="preserve">  Positive CA Check</t>
  </si>
  <si>
    <t>Total Current Assets must be positive to compute MPBF.</t>
  </si>
  <si>
    <t xml:space="preserve">  TNW Positive Check</t>
  </si>
  <si>
    <t>Negative TNW = technical insolvency. Bank will flag and may decline.</t>
  </si>
  <si>
    <t>📋  camsroy.com  |  FORM II — OPERATING STATEMENT (P&amp;L)  (₹ Lakhs)</t>
  </si>
  <si>
    <t>Revenue, costs, EBITDA, finance charges, PAT and Cash Accruals. Bankers assess EBITDA growth trend and finance cost coverage.</t>
  </si>
  <si>
    <t>I. REVENUE FROM OPERATIONS</t>
  </si>
  <si>
    <t xml:space="preserve">  Gross Sales / Revenue</t>
  </si>
  <si>
    <t>Including GST if applicable</t>
  </si>
  <si>
    <t xml:space="preserve">  Less: Excise Duty / GST on Sales</t>
  </si>
  <si>
    <t>NET SALES (Net Revenue from Operations)</t>
  </si>
  <si>
    <t>Key top-line; basis for ratio analysis</t>
  </si>
  <si>
    <t>II. COST OF GOODS SOLD / COST OF PRODUCTION</t>
  </si>
  <si>
    <t xml:space="preserve">  Raw Material Consumed</t>
  </si>
  <si>
    <t>Opening RM + Purchases - Closing RM</t>
  </si>
  <si>
    <t xml:space="preserve">  Power, Fuel &amp; Water</t>
  </si>
  <si>
    <t xml:space="preserve">  Wages &amp; Salaries (Factory)</t>
  </si>
  <si>
    <t>Direct labour cost</t>
  </si>
  <si>
    <t xml:space="preserve">  Repair &amp; Maintenance</t>
  </si>
  <si>
    <t xml:space="preserve">  Other Manufacturing Expenses</t>
  </si>
  <si>
    <t>Packing, consumables etc.</t>
  </si>
  <si>
    <t xml:space="preserve">  Cost of Production</t>
  </si>
  <si>
    <t xml:space="preserve">  Add: Opening Stock (WIP + FG)</t>
  </si>
  <si>
    <t xml:space="preserve">  Less: Closing Stock (WIP + FG)</t>
  </si>
  <si>
    <t>COST OF GOODS SOLD (COGS)</t>
  </si>
  <si>
    <t>III. GROSS PROFIT &amp; OPERATING EXPENSES</t>
  </si>
  <si>
    <t>GROSS PROFIT (Net Sales - COGS)</t>
  </si>
  <si>
    <t xml:space="preserve">  Administration Expenses</t>
  </si>
  <si>
    <t xml:space="preserve">  Selling &amp; Distribution Expenses</t>
  </si>
  <si>
    <t xml:space="preserve">  Other Operating Expenses</t>
  </si>
  <si>
    <t xml:space="preserve">  Total Operating Expenses (Overheads)</t>
  </si>
  <si>
    <t>EBITDA (Gross Profit – Overheads)</t>
  </si>
  <si>
    <t>Primary operating metric for bank assessment</t>
  </si>
  <si>
    <t>Should be improving year-on-year for good credit rating</t>
  </si>
  <si>
    <t>IV. BELOW-EBITDA</t>
  </si>
  <si>
    <t xml:space="preserve">  Depreciation &amp; Amortisation</t>
  </si>
  <si>
    <t>As per Companies Act</t>
  </si>
  <si>
    <t>EBIT (EBITDA - Depreciation)</t>
  </si>
  <si>
    <t xml:space="preserve">  Other Income (Non-operating)</t>
  </si>
  <si>
    <t>Dividend, profit on sale of assets</t>
  </si>
  <si>
    <t xml:space="preserve">  Interest on Term Loan</t>
  </si>
  <si>
    <t>Actual interest paid/payable</t>
  </si>
  <si>
    <t xml:space="preserve">  Interest on Working Capital (CC/OD)</t>
  </si>
  <si>
    <t xml:space="preserve">  Bank Charges / Other Finance Costs</t>
  </si>
  <si>
    <t xml:space="preserve">  Total Finance Costs</t>
  </si>
  <si>
    <t>PROFIT BEFORE TAX (PBT)</t>
  </si>
  <si>
    <t>PBT before any tax adjustments</t>
  </si>
  <si>
    <t xml:space="preserve">  Current Tax (Sec 115BAA or Sec 115JB MAT)</t>
  </si>
  <si>
    <t xml:space="preserve">  Deferred Tax (Charge) / Credit</t>
  </si>
  <si>
    <t>PROFIT AFTER TAX (PAT)</t>
  </si>
  <si>
    <t>Net profit after all taxes</t>
  </si>
  <si>
    <t>V. CASH ACCRUALS</t>
  </si>
  <si>
    <t>Cash Accruals (PAT + Depreciation)</t>
  </si>
  <si>
    <t>Cash generated — basis for DSCR</t>
  </si>
  <si>
    <t xml:space="preserve">  Dividend Paid</t>
  </si>
  <si>
    <t>Retained Cash Accruals (after Dividend)</t>
  </si>
  <si>
    <t>Added to reserves in balance sheet</t>
  </si>
  <si>
    <t>📦  camsroy.com  |  FORM III — ANALYSIS OF CURRENT ASSETS &amp; LIABILITIES (₹ Lakhs)</t>
  </si>
  <si>
    <t>Values pulled from Form I. Holding days computed automatically. This feeds directly into Form IV-V (MPBF calculation).</t>
  </si>
  <si>
    <t>Notes / Formula / Norm</t>
  </si>
  <si>
    <t>A. CURRENT ASSETS — DETAIL</t>
  </si>
  <si>
    <t xml:space="preserve">  (Holding days: RM / RM Consumed × 365)</t>
  </si>
  <si>
    <t>Benchmark: per Setup D</t>
  </si>
  <si>
    <t xml:space="preserve">  (Holding days: WIP / COGS × 365)</t>
  </si>
  <si>
    <t xml:space="preserve">  (Holding days: FG / COGS × 365)</t>
  </si>
  <si>
    <t>Net of bad debt provision</t>
  </si>
  <si>
    <t xml:space="preserve">  (Debtor days: Debtors / Net Sales × 365)</t>
  </si>
  <si>
    <t>Benchmark: industry credit period</t>
  </si>
  <si>
    <t>Short-Term Loans &amp; Advances to Suppliers</t>
  </si>
  <si>
    <t>Advance to vendors</t>
  </si>
  <si>
    <t>GST refundable, prepaid etc.</t>
  </si>
  <si>
    <t>Unencumbered cash only</t>
  </si>
  <si>
    <t>TOTAL CURRENT ASSETS (TCA)</t>
  </si>
  <si>
    <t>TCA = Total of all CA above (excluding Bank WC since it's a liability)</t>
  </si>
  <si>
    <t>B. CURRENT LIABILITIES (EXCLUDING BANK BORROWINGS) — DETAIL</t>
  </si>
  <si>
    <t>For purchases — credit received from suppliers</t>
  </si>
  <si>
    <t xml:space="preserve">  (Creditor days: Creditors / Purchases × 365)</t>
  </si>
  <si>
    <t>Include RM and stores purchases</t>
  </si>
  <si>
    <t>Customer deposits, advance orders</t>
  </si>
  <si>
    <t>Not overdue</t>
  </si>
  <si>
    <t>Salaries payable, expenses accrued</t>
  </si>
  <si>
    <t>TOTAL CURRENT LIABILITIES (TCL) — Excl. Bank Borrowings</t>
  </si>
  <si>
    <t>CRITICAL: Excludes CC/OD borrowings — this is the Tandon TCL</t>
  </si>
  <si>
    <t>NET WORKING CAPITAL (NWC = TCA - TCL excl. Bank)</t>
  </si>
  <si>
    <t>Required NWC — 25% must come from borrower's own funds (Tandon norms)</t>
  </si>
  <si>
    <t>🏦  camsroy.com  |  FORM IV — WORKING CAPITAL ASSESSMENT  &amp;  FORM V — MPBF  (₹ Lakhs)</t>
  </si>
  <si>
    <t>MPBF = Maximum Permissible Bank Finance (Tandon Committee / RBI).  Method I: 75% of NWC — gives HIGHER MPBF but CR &lt; 1.33 (not RBI-compliant).  Method II: 75% of TCA minus TCL — gives LOWER MPBF but CR exactly 1.33 (RBI-compliant, PSU bank standard).</t>
  </si>
  <si>
    <t>FORM IV — GROSS WORKING CAPITAL ASSESSMENT</t>
  </si>
  <si>
    <t>A. Total Current Assets (TCA) — from Form III</t>
  </si>
  <si>
    <t>Gross NWC requirement</t>
  </si>
  <si>
    <t>B. Total Current Liabilities excl. Bank (TCL) — from Form III</t>
  </si>
  <si>
    <t>Trade creditors + statutory dues</t>
  </si>
  <si>
    <t>C. NET WORKING CAPITAL (A - B = NWC)</t>
  </si>
  <si>
    <t>NWC = Gross funded WC gap before bank finance</t>
  </si>
  <si>
    <t>FORM V — MPBF CALCULATION — TANDON COMMITTEE METHOD I</t>
  </si>
  <si>
    <t>Method I: Borrower to fund 25% of NWC from own sources. Bank can fund remaining 75% of NWC.</t>
  </si>
  <si>
    <t>MPBF Method I = 75% × NWC</t>
  </si>
  <si>
    <t>75% of NWC — borrower margin of 25% required</t>
  </si>
  <si>
    <t xml:space="preserve">  Borrower Margin Required (25% of NWC)</t>
  </si>
  <si>
    <t>25% of NWC from own sources (net worth/accruals)</t>
  </si>
  <si>
    <t xml:space="preserve">  Current Ratio after Method I (TCA / (MPBF + TCL))</t>
  </si>
  <si>
    <t>Method I gives CR &lt; 1.33 when trade creditors exist — this is why PSU banks do NOT use Method I for CC sanction. e.g. TCA=100, TCL=20 → MPBF=60, CR=100/(60+20)=1.25 (below 1.33 norm).</t>
  </si>
  <si>
    <t>MPBF CALCULATION — TANDON COMMITTEE METHOD II (Standard)</t>
  </si>
  <si>
    <t>Method II: Bank can fund 75% of TCA (gross). Borrower must arrange 25% of TCA + full TCL from own/other sources. More permissive than Method I. Most PSU banks follow Method II.</t>
  </si>
  <si>
    <t xml:space="preserve">  75% of Total Current Assets (0.75 × TCA)</t>
  </si>
  <si>
    <t xml:space="preserve">  Less: Total Current Liabilities excl. Bank (TCL)</t>
  </si>
  <si>
    <t>MPBF Method II = (0.75 × TCA) - TCL</t>
  </si>
  <si>
    <t>LOWER MPBF than Method I, but achieves CR = exactly 1.33 (RBI minimum). e.g. TCA=100, TCL=20 → Method II MPBF=55 vs Method I MPBF=60. Banks prefer Method II: 1.33 CR guaranteed. Use this as the CC limit ceiling.</t>
  </si>
  <si>
    <t xml:space="preserve">  Borrower Margin Required (25% of TCA)</t>
  </si>
  <si>
    <t xml:space="preserve">  Current Ratio after Method II (TCA / (MPBF + TCL))</t>
  </si>
  <si>
    <t>Must be ≥ 1.33. Method II gives CR exactly 1.33 when fully utilised.</t>
  </si>
  <si>
    <t>MPBF SUMMARY — FACILITY ASSESSMENT</t>
  </si>
  <si>
    <t>Bank Borrowings (CC/OD) — Existing/Proposed</t>
  </si>
  <si>
    <t>Actual CC/OD drawn from Form I</t>
  </si>
  <si>
    <t>Utilisation vs MPBF Method I</t>
  </si>
  <si>
    <t>Utilisation vs MPBF Method II</t>
  </si>
  <si>
    <t>ℹ  Tandon Committee (RBI 1975): Method I = 75% of NWC → higher MPBF but CR &lt; 1.33 (not used by PSU banks). Method II = 75%×TCA − TCL → lower MPBF, CR exactly 1.33 (PSU bank standard). Method III (rarely used) = bank funds only deficit after all other sources. MPBF is the CEILING on CC limit; actual Drawing Power is lower of MPBF or stock/debtor-based DP from monthly stock statement.</t>
  </si>
  <si>
    <t>💰  camsroy.com  |  FORM VI — FUND FLOW STATEMENT  (₹ Lakhs)</t>
  </si>
  <si>
    <t>Shows long-term sources and application of funds (medium/long-term changes). Surplus/deficit feeds into working capital movement.</t>
  </si>
  <si>
    <t>A. SOURCES OF LONG-TERM FUNDS</t>
  </si>
  <si>
    <t>Net Profit After Tax (PAT)</t>
  </si>
  <si>
    <t>From Form II</t>
  </si>
  <si>
    <t>Add: Depreciation &amp; Amortisation</t>
  </si>
  <si>
    <t>Non-cash charge</t>
  </si>
  <si>
    <t xml:space="preserve">  Cash Accruals (PAT + Dep)</t>
  </si>
  <si>
    <t>Add: Increase in Share Capital / Fresh Equity</t>
  </si>
  <si>
    <t>Equity infusion / rights issue</t>
  </si>
  <si>
    <t>Add: Increase in Term Loans (net drawdown)</t>
  </si>
  <si>
    <t>New TL borrowed less repayment</t>
  </si>
  <si>
    <t>Add: Increase in Other Non-Current Liabilities</t>
  </si>
  <si>
    <t>TOTAL SOURCES (A)</t>
  </si>
  <si>
    <t>B. APPLICATION OF LONG-TERM FUNDS</t>
  </si>
  <si>
    <t>Increase in Gross Fixed Assets (Capex)</t>
  </si>
  <si>
    <t>New capex + maintenance</t>
  </si>
  <si>
    <t>Repayment of Term Loans</t>
  </si>
  <si>
    <t>TL repayment during the year</t>
  </si>
  <si>
    <t>Dividend Paid</t>
  </si>
  <si>
    <t>Increase in Long-Term Investments</t>
  </si>
  <si>
    <t>TOTAL APPLICATIONS (B)</t>
  </si>
  <si>
    <t>NET SURPLUS / (DEFICIT) IN WORKING CAPITAL (A - B)</t>
  </si>
  <si>
    <t>Positive = surplus for WC. Negative = WC deficit, higher CC needed.</t>
  </si>
  <si>
    <t>📈  camsroy.com  |  FORM VII — KEY FINANCIAL RATIOS</t>
  </si>
  <si>
    <t>All ratios auto-calculated from Forms I-V. Red = below norm. Green = acceptable. Norms as per RBI/IBA guidelines.</t>
  </si>
  <si>
    <t>A. LIQUIDITY RATIOS</t>
  </si>
  <si>
    <t>1. Current Ratio (TCA / Total CL including Bank)</t>
  </si>
  <si>
    <t>Norm: ≥ 1.33 (RBI norm)  |  After MPBF, CR should be 1.33. &lt;1.33 = over-borrowed.</t>
  </si>
  <si>
    <t>2. Quick Ratio / Acid Test (CA excl. Inventory / CL)</t>
  </si>
  <si>
    <t>Norm: ≥ 1.0  |  Tests liquidity without inventory. &lt;1 = depends on stock liquidation.</t>
  </si>
  <si>
    <t>B. LEVERAGE / SOLVENCY RATIOS</t>
  </si>
  <si>
    <t>3. Debt-Equity Ratio (Total Debt / TNW)</t>
  </si>
  <si>
    <t>Norm: ≤ 3:1 (PSU banks)  |  (Term Debt + WC Debt) / TNW. &lt;2 = comfortable.</t>
  </si>
  <si>
    <t>4. TOL/TNW (Total Outside Liab / Tangible Net Worth)</t>
  </si>
  <si>
    <t>Norm: ≤ 4:1 (most banks)  |  Key solvency metric. &gt;4x = highly leveraged, weak credit.</t>
  </si>
  <si>
    <t>C. PROFITABILITY RATIOS</t>
  </si>
  <si>
    <t>5. EBITDA Margin (%)</t>
  </si>
  <si>
    <t>Norm: Industry-dependent  |  Gross operating profitability. Trend matters.</t>
  </si>
  <si>
    <t>6. Net Profit Margin / PAT Margin (%)</t>
  </si>
  <si>
    <t>Norm: &gt; 3-5% minimum  |  PAT as % of net sales.</t>
  </si>
  <si>
    <t>D. COVERAGE RATIOS (Repayment Capacity)</t>
  </si>
  <si>
    <t>7. Interest Coverage Ratio (EBITDA / Total Finance Cost)</t>
  </si>
  <si>
    <t>Norm: ≥ 2.0 (minimum)  |  EBITDA must cover finance costs 2x minimum. &lt;1.5 = danger zone.</t>
  </si>
  <si>
    <t>8. Debt Service Coverage Ratio — DSCR (Cash Accruals / Debt Service)</t>
  </si>
  <si>
    <t>Norm: ≥ 1.25 (minimum)  |  Cash Accruals / (TL Repayment + Interest). Banks sanction TL if DSCR ≥ 1.25.</t>
  </si>
  <si>
    <t>E. EFFICIENCY / ACTIVITY RATIOS</t>
  </si>
  <si>
    <t>9. Fixed Asset Turnover (Net Sales / Net Fixed Assets)</t>
  </si>
  <si>
    <t>Net Sales / Net Fixed Assets (Net Block row 8). Fixed previously used Total NCA (row 14 incl. CWIP, intangibles, LT investments). Now correctly uses Net Block only.</t>
  </si>
  <si>
    <t>10. Inventory Turnover (Net Sales / Total Inventory)</t>
  </si>
  <si>
    <t>Norm: Industry-dependent  |  Higher = faster stock movement = less WC needed.</t>
  </si>
  <si>
    <t>11. Debtor Turnover Days (Debtors / Net Sales × 365)</t>
  </si>
  <si>
    <t>Norm: &lt; Credit period allowed  |  Compare with credit terms given. Rising days = collections worsening.</t>
  </si>
  <si>
    <t>F. NET WORKING CAPITAL RATIOS</t>
  </si>
  <si>
    <t>12. NWC / Net Sales (%)</t>
  </si>
  <si>
    <t>Norm: Varies by sector  |  NWC as % sales — tracks working capital intensity.</t>
  </si>
  <si>
    <t>ℹ  RATIO INTERPRETATION GUIDE: Current Ratio &lt; 1.33 = over-financed by bank (CC utilisation excessive relative to assets). TOL/TNW &gt; 4 = heavily leveraged, difficult to get further credit. DSCR &lt; 1.25 = cannot service term debt from cash accruals (restructuring risk). Interest Coverage &lt; 1.5 = interest not covered from operations (NPA risk). All PSU bank credit appraisals require minimum 1.33 CR post MPBF financing.  |  © camsroy.com</t>
  </si>
  <si>
    <t>camsroy.com  |  HOW TO USE — CMA Data Template</t>
  </si>
  <si>
    <t>STEP-BY-STEP: HOW TO PREPARE CMA DATA</t>
  </si>
  <si>
    <t xml:space="preserve">  Step 1 — SETUP: Fill Company Details and Assumptions</t>
  </si>
  <si>
    <t xml:space="preserve">    Enter company name, PAN, GSTIN, bank name, and facility type in the Setup sheet. Set the Base Financial Year (e.g. 2024 if latest audited accounts are FY2023-24). The template auto-generates year labels for 6 periods. Set operating cycle days (RM holding, WIP, FG, debtor days, creditor days) — these drive the MPBF calculation.</t>
  </si>
  <si>
    <t xml:space="preserve">  Step 2 — FORM I: Enter Balance Sheet Data</t>
  </si>
  <si>
    <t xml:space="preserve">    Enter audited figures for FY-2 and FY-1 in blue cells. Enter estimated figures for current year. For projected years, derive from your business projections. The Balance Sheet check row shows ✅ Balanced or ❌ with the difference — always resolve before submission.</t>
  </si>
  <si>
    <t xml:space="preserve">  Step 3 — FORM II: Enter P&amp;L / Operating Statement</t>
  </si>
  <si>
    <t xml:space="preserve">    Enter revenue, costs, depreciation, finance charges. EBITDA, PAT, and Cash Accruals calculate automatically. Pay attention to EBITDA Margin trend — banks look for stable or improving margins. Cash Accruals (PAT + Dep) is the primary repayment source for term loans.</t>
  </si>
  <si>
    <t xml:space="preserve">  Step 4 — FORM III: Verify Current Assets &amp; Liabilities</t>
  </si>
  <si>
    <t xml:space="preserve">    This sheet auto-populates from Form I. Check that holding days are reasonable vs industry norms. Holding days exceeding Setup assumptions = higher WC requirement than projected.</t>
  </si>
  <si>
    <t xml:space="preserve">  Step 5 — FORM IV-V: Check MPBF Calculation</t>
  </si>
  <si>
    <t xml:space="preserve">    This is the most critical sheet for CC/OD limit sanction. MPBF Method II = 0.75 × TCA – TCL. This is the maximum a bank can lend under RBI norms. Current Ratio after MPBF must be ≥ 1.33. If the proposed CC limit exceeds Method II MPBF, you need to justify with additional security or reduce the drawing power request. Method I gives lower limit (75% of NWC) — Method II is standard for PSU banks.</t>
  </si>
  <si>
    <t xml:space="preserve">  Step 6 — FORM VI: Fund Flow Statement</t>
  </si>
  <si>
    <t xml:space="preserve">    Enter capex, TL repayments, and equity infusions for the projected period. Net surplus/deficit shows whether the company's long-term cash generation is sufficient for capex and debt repayment without additional borrowing.</t>
  </si>
  <si>
    <t xml:space="preserve">  Step 7 — FORM VII: Review Key Ratios</t>
  </si>
  <si>
    <t xml:space="preserve">    All ratios auto-populate. Watch: Current Ratio ≥ 1.33, TOL/TNW ≤ 4:1, DSCR ≥ 1.25, Interest Coverage ≥ 2x. If any ratio falls below norm in projected years, the bank may ask for collateral, guarantor, or revised projections. Address these before submission.</t>
  </si>
  <si>
    <t>MPBF — WHAT IS IT AND WHY IT MATTERS</t>
  </si>
  <si>
    <t xml:space="preserve">    MPBF (Maximum Permissible Bank Finance) is the ceiling on working capital borrowings under the Tandon Committee recommendations (Reserve Bank of India, 1975). The logic: If a company has ₹100L of current assets and ₹30L of trade creditors, it needs ₹70L of own/bank finance. The bank should not fund 100% of this — the borrower must bring in at least 25%, so the bank's exposure is capped.</t>
  </si>
  <si>
    <t xml:space="preserve">    Method I: MPBF = 75% × (TCA – TCL). Method II: MPBF = 75% × TCA – TCL. Example: TCA = ₹100L, TCL = ₹20L. Method I: 75% × (100–20) = ₹60L. Method II: 75%×100 – 20 = ₹55L. Note: Despite being higher formula, Method II gives lower MPBF in this example when TCL is significant.</t>
  </si>
  <si>
    <t>BANK-WISE VARIATIONS</t>
  </si>
  <si>
    <t xml:space="preserve">    SBI/PNB/BOB: Use Method II for CC limits. DSCR 1.25 minimum for TL.</t>
  </si>
  <si>
    <t xml:space="preserve">    SIDBI/NABARD: May use Method I or III depending on scheme.</t>
  </si>
  <si>
    <t xml:space="preserve">    Private Banks (HDFC/ICICI): Not strictly bound by Tandon norms but use as reference.</t>
  </si>
  <si>
    <t xml:space="preserve">    Typical documents alongside CMA: 2 years audited BS + P&amp;L, last 12 months bank statement, projected P&amp;L and BS, income tax returns, GSTIN returns, stock statement, debtor list, creditor list.</t>
  </si>
  <si>
    <t>COMMON ERRORS IN CMA PREPARATION</t>
  </si>
  <si>
    <t xml:space="preserve">    1. Balance Sheet not tallying — check all line items, esp. retained earnings linking to PAT</t>
  </si>
  <si>
    <t xml:space="preserve">    2. CMTL not separated from long-term TL — current maturity must be in CL</t>
  </si>
  <si>
    <t xml:space="preserve">    3. Cash &amp; Bank showing 0 when there are FD/treasury investments — include liquid investments</t>
  </si>
  <si>
    <t xml:space="preserve">    4. Projected revenue growth unrealistically high — must be justified to banker</t>
  </si>
  <si>
    <t xml:space="preserve">    5. TOL/TNW high because losses accumulated — banker will ask for equity infusion plan</t>
  </si>
  <si>
    <t xml:space="preserve">    6. Trade creditors understated — inflates NWC and MPBF, but banker will verify from statements</t>
  </si>
  <si>
    <t>Copyright 2025 camsroy.com  |  Free for CA, finance professionals and SMEs  |  www.camsroy.com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</si>
</sst>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\x"/>
  </numFmts>
  <fonts count="30" x14ac:knownFonts="1">
    <font>
      <sz val="11"/>
      <color theme="1"/>
      <name val="Calibri"/>
      <family val="2"/>
      <charset val="1"/>
    </font>
    <font>
      <sz val="11"/>
      <color theme="1"/>
      <name val="Times New Roman"/>
      <family val="1"/>
    </font>
    <font>
      <b/>
      <sz val="22"/>
      <color rgb="FFFFFFFF"/>
      <name val="Times New Roman"/>
      <family val="1"/>
    </font>
    <font>
      <i/>
      <sz val="10"/>
      <color rgb="FFD7BDE2"/>
      <name val="Times New Roman"/>
      <family val="1"/>
    </font>
    <font>
      <b/>
      <sz val="18"/>
      <color rgb="FFFFFFFF"/>
      <name val="Times New Roman"/>
      <family val="1"/>
    </font>
    <font>
      <sz val="10"/>
      <color rgb="FFAED6F1"/>
      <name val="Times New Roman"/>
      <family val="1"/>
    </font>
    <font>
      <b/>
      <sz val="10"/>
      <color rgb="FFFFFFFF"/>
      <name val="Times New Roman"/>
      <family val="1"/>
    </font>
    <font>
      <b/>
      <sz val="11"/>
      <color rgb="FFAED6F1"/>
      <name val="Times New Roman"/>
      <family val="1"/>
    </font>
    <font>
      <b/>
      <sz val="9"/>
      <color rgb="FFD4AC0D"/>
      <name val="Times New Roman"/>
      <family val="1"/>
    </font>
    <font>
      <sz val="9"/>
      <color rgb="FFBDC3C7"/>
      <name val="Times New Roman"/>
      <family val="1"/>
    </font>
    <font>
      <sz val="8"/>
      <color rgb="FF7F8C8D"/>
      <name val="Times New Roman"/>
      <family val="1"/>
    </font>
    <font>
      <b/>
      <sz val="12"/>
      <color rgb="FFFFFFFF"/>
      <name val="Times New Roman"/>
      <family val="1"/>
    </font>
    <font>
      <i/>
      <sz val="9"/>
      <color rgb="FF555555"/>
      <name val="Times New Roman"/>
      <family val="1"/>
    </font>
    <font>
      <b/>
      <sz val="9"/>
      <color rgb="FFFFFFFF"/>
      <name val="Times New Roman"/>
      <family val="1"/>
    </font>
    <font>
      <sz val="9"/>
      <color rgb="FF000000"/>
      <name val="Times New Roman"/>
      <family val="1"/>
    </font>
    <font>
      <b/>
      <sz val="9"/>
      <color rgb="FF0000FF"/>
      <name val="Times New Roman"/>
      <family val="1"/>
    </font>
    <font>
      <i/>
      <sz val="8"/>
      <color rgb="FF555555"/>
      <name val="Times New Roman"/>
      <family val="1"/>
    </font>
    <font>
      <b/>
      <sz val="9"/>
      <color rgb="FF117A65"/>
      <name val="Times New Roman"/>
      <family val="1"/>
    </font>
    <font>
      <b/>
      <sz val="14"/>
      <color rgb="FFFFFFFF"/>
      <name val="Times New Roman"/>
      <family val="1"/>
    </font>
    <font>
      <b/>
      <sz val="8"/>
      <color rgb="FFFFFFFF"/>
      <name val="Times New Roman"/>
      <family val="1"/>
    </font>
    <font>
      <b/>
      <sz val="9"/>
      <color rgb="FF0D1B2A"/>
      <name val="Times New Roman"/>
      <family val="1"/>
    </font>
    <font>
      <i/>
      <sz val="8"/>
      <color rgb="FF117A65"/>
      <name val="Times New Roman"/>
      <family val="1"/>
    </font>
    <font>
      <b/>
      <sz val="10"/>
      <color rgb="FF0D1B2A"/>
      <name val="Times New Roman"/>
      <family val="1"/>
    </font>
    <font>
      <b/>
      <sz val="12"/>
      <color rgb="FF0D1B2A"/>
      <name val="Times New Roman"/>
      <family val="1"/>
    </font>
    <font>
      <i/>
      <sz val="8"/>
      <color rgb="FF444444"/>
      <name val="Times New Roman"/>
      <family val="1"/>
    </font>
    <font>
      <i/>
      <sz val="9"/>
      <color rgb="FF1A1A1A"/>
      <name val="Times New Roman"/>
      <family val="1"/>
    </font>
    <font>
      <b/>
      <sz val="11"/>
      <color rgb="FFFFFFFF"/>
      <name val="Times New Roman"/>
      <family val="1"/>
    </font>
    <font>
      <i/>
      <sz val="8"/>
      <color rgb="FF8B0000"/>
      <name val="Times New Roman"/>
      <family val="1"/>
    </font>
    <font>
      <b/>
      <sz val="11"/>
      <color rgb="FF0D1B2A"/>
      <name val="Times New Roman"/>
      <family val="1"/>
    </font>
    <font>
      <sz val="9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0D1B2A"/>
        <bgColor rgb="FF1A1A1A"/>
      </patternFill>
    </fill>
    <fill>
      <patternFill patternType="solid">
        <fgColor rgb="FF6C3483"/>
        <bgColor rgb="FF555555"/>
      </patternFill>
    </fill>
    <fill>
      <patternFill patternType="solid">
        <fgColor rgb="FFF2F3F4"/>
        <bgColor rgb="FFEBF5FB"/>
      </patternFill>
    </fill>
    <fill>
      <patternFill patternType="solid">
        <fgColor rgb="FF1B4F72"/>
        <bgColor rgb="FF1A5276"/>
      </patternFill>
    </fill>
    <fill>
      <patternFill patternType="solid">
        <fgColor rgb="FFD6EAF8"/>
        <bgColor rgb="FFD5F5E3"/>
      </patternFill>
    </fill>
    <fill>
      <patternFill patternType="solid">
        <fgColor rgb="FFD5F5E3"/>
        <bgColor rgb="FFD6EAF8"/>
      </patternFill>
    </fill>
    <fill>
      <patternFill patternType="solid">
        <fgColor rgb="FFA04000"/>
        <bgColor rgb="FF8B0000"/>
      </patternFill>
    </fill>
    <fill>
      <patternFill patternType="solid">
        <fgColor rgb="FFFCF3CF"/>
        <bgColor rgb="FFFDEDEC"/>
      </patternFill>
    </fill>
    <fill>
      <patternFill patternType="solid">
        <fgColor rgb="FF455A64"/>
        <bgColor rgb="FF555555"/>
      </patternFill>
    </fill>
    <fill>
      <patternFill patternType="solid">
        <fgColor rgb="FFD4AC0D"/>
        <bgColor rgb="FFFFCC00"/>
      </patternFill>
    </fill>
    <fill>
      <patternFill patternType="solid">
        <fgColor rgb="FFEBF5FB"/>
        <bgColor rgb="FFF2F3F4"/>
      </patternFill>
    </fill>
    <fill>
      <patternFill patternType="solid">
        <fgColor rgb="FF117A65"/>
        <bgColor rgb="FF008080"/>
      </patternFill>
    </fill>
    <fill>
      <patternFill patternType="solid">
        <fgColor rgb="FFFDEDEC"/>
        <bgColor rgb="FFF2F3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A5276"/>
      </bottom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13" fillId="2" borderId="0" xfId="0" applyFont="1" applyFill="1" applyAlignment="1">
      <alignment horizontal="center" vertical="center" wrapText="1"/>
    </xf>
    <xf numFmtId="0" fontId="14" fillId="4" borderId="2" xfId="0" applyFont="1" applyFill="1" applyBorder="1" applyAlignment="1">
      <alignment horizontal="left" vertical="center" wrapText="1" indent="1"/>
    </xf>
    <xf numFmtId="0" fontId="15" fillId="6" borderId="2" xfId="0" applyFont="1" applyFill="1" applyBorder="1" applyAlignment="1">
      <alignment horizontal="left" vertical="center" wrapText="1" indent="1"/>
    </xf>
    <xf numFmtId="0" fontId="16" fillId="4" borderId="2" xfId="0" applyFont="1" applyFill="1" applyBorder="1" applyAlignment="1">
      <alignment horizontal="left" vertical="center" wrapText="1" indent="1"/>
    </xf>
    <xf numFmtId="3" fontId="15" fillId="6" borderId="2" xfId="0" applyNumberFormat="1" applyFont="1" applyFill="1" applyBorder="1" applyAlignment="1">
      <alignment horizontal="right" vertical="center"/>
    </xf>
    <xf numFmtId="0" fontId="17" fillId="7" borderId="2" xfId="0" applyFont="1" applyFill="1" applyBorder="1" applyAlignment="1">
      <alignment horizontal="left" vertical="center" wrapText="1" indent="1"/>
    </xf>
    <xf numFmtId="10" fontId="15" fillId="6" borderId="2" xfId="0" applyNumberFormat="1" applyFont="1" applyFill="1" applyBorder="1" applyAlignment="1">
      <alignment horizontal="right" vertical="center"/>
    </xf>
    <xf numFmtId="49" fontId="15" fillId="6" borderId="2" xfId="0" applyNumberFormat="1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left" vertical="center" wrapText="1" indent="1"/>
    </xf>
    <xf numFmtId="3" fontId="6" fillId="3" borderId="2" xfId="0" applyNumberFormat="1" applyFont="1" applyFill="1" applyBorder="1" applyAlignment="1">
      <alignment horizontal="right" vertical="center"/>
    </xf>
    <xf numFmtId="0" fontId="19" fillId="8" borderId="2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left" vertical="center" wrapText="1" indent="1"/>
    </xf>
    <xf numFmtId="4" fontId="13" fillId="4" borderId="2" xfId="0" applyNumberFormat="1" applyFont="1" applyFill="1" applyBorder="1" applyAlignment="1">
      <alignment horizontal="right" vertical="center"/>
    </xf>
    <xf numFmtId="4" fontId="17" fillId="7" borderId="2" xfId="0" applyNumberFormat="1" applyFont="1" applyFill="1" applyBorder="1" applyAlignment="1">
      <alignment horizontal="right" vertical="center"/>
    </xf>
    <xf numFmtId="164" fontId="17" fillId="7" borderId="2" xfId="0" applyNumberFormat="1" applyFont="1" applyFill="1" applyBorder="1" applyAlignment="1">
      <alignment horizontal="right" vertical="center"/>
    </xf>
    <xf numFmtId="4" fontId="20" fillId="11" borderId="2" xfId="0" applyNumberFormat="1" applyFont="1" applyFill="1" applyBorder="1" applyAlignment="1">
      <alignment horizontal="right" vertical="center"/>
    </xf>
    <xf numFmtId="0" fontId="13" fillId="3" borderId="2" xfId="0" applyFont="1" applyFill="1" applyBorder="1" applyAlignment="1">
      <alignment horizontal="left" vertical="center" wrapText="1" indent="1"/>
    </xf>
    <xf numFmtId="4" fontId="13" fillId="3" borderId="2" xfId="0" applyNumberFormat="1" applyFont="1" applyFill="1" applyBorder="1" applyAlignment="1">
      <alignment horizontal="right" vertical="center"/>
    </xf>
    <xf numFmtId="0" fontId="21" fillId="4" borderId="2" xfId="0" applyFont="1" applyFill="1" applyBorder="1" applyAlignment="1">
      <alignment horizontal="left" vertical="center" wrapText="1" indent="1"/>
    </xf>
    <xf numFmtId="0" fontId="13" fillId="11" borderId="2" xfId="0" applyFont="1" applyFill="1" applyBorder="1" applyAlignment="1">
      <alignment horizontal="left" vertical="center" wrapText="1" indent="1"/>
    </xf>
    <xf numFmtId="0" fontId="19" fillId="2" borderId="2" xfId="0" applyFont="1" applyFill="1" applyBorder="1" applyAlignment="1">
      <alignment horizontal="center" vertical="center" wrapText="1"/>
    </xf>
    <xf numFmtId="165" fontId="17" fillId="7" borderId="2" xfId="0" applyNumberFormat="1" applyFont="1" applyFill="1" applyBorder="1" applyAlignment="1">
      <alignment horizontal="right" vertical="center"/>
    </xf>
    <xf numFmtId="3" fontId="17" fillId="7" borderId="2" xfId="0" applyNumberFormat="1" applyFont="1" applyFill="1" applyBorder="1" applyAlignment="1">
      <alignment horizontal="right" vertical="center"/>
    </xf>
    <xf numFmtId="0" fontId="13" fillId="8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left" vertical="center" wrapText="1" indent="2"/>
    </xf>
    <xf numFmtId="0" fontId="1" fillId="6" borderId="2" xfId="0" applyFont="1" applyFill="1" applyBorder="1" applyAlignment="1">
      <alignment horizontal="right" vertical="center"/>
    </xf>
    <xf numFmtId="0" fontId="1" fillId="12" borderId="2" xfId="0" applyFont="1" applyFill="1" applyBorder="1" applyAlignment="1">
      <alignment horizontal="right" vertical="center"/>
    </xf>
    <xf numFmtId="0" fontId="22" fillId="11" borderId="2" xfId="0" applyFont="1" applyFill="1" applyBorder="1" applyAlignment="1">
      <alignment horizontal="left" vertical="center" wrapText="1" indent="1"/>
    </xf>
    <xf numFmtId="4" fontId="13" fillId="11" borderId="2" xfId="0" applyNumberFormat="1" applyFont="1" applyFill="1" applyBorder="1" applyAlignment="1">
      <alignment horizontal="right" vertical="center"/>
    </xf>
    <xf numFmtId="0" fontId="1" fillId="4" borderId="0" xfId="0" applyFont="1" applyFill="1"/>
    <xf numFmtId="0" fontId="17" fillId="7" borderId="2" xfId="0" applyFont="1" applyFill="1" applyBorder="1" applyAlignment="1">
      <alignment horizontal="left" vertical="center" wrapText="1" indent="2"/>
    </xf>
    <xf numFmtId="4" fontId="13" fillId="2" borderId="2" xfId="0" applyNumberFormat="1" applyFont="1" applyFill="1" applyBorder="1" applyAlignment="1">
      <alignment horizontal="right" vertical="center"/>
    </xf>
    <xf numFmtId="0" fontId="6" fillId="11" borderId="2" xfId="0" applyFont="1" applyFill="1" applyBorder="1" applyAlignment="1">
      <alignment horizontal="left" vertical="center" wrapText="1" indent="1"/>
    </xf>
    <xf numFmtId="4" fontId="22" fillId="11" borderId="2" xfId="0" applyNumberFormat="1" applyFont="1" applyFill="1" applyBorder="1" applyAlignment="1">
      <alignment horizontal="right" vertical="center"/>
    </xf>
    <xf numFmtId="0" fontId="17" fillId="7" borderId="2" xfId="0" applyFont="1" applyFill="1" applyBorder="1" applyAlignment="1">
      <alignment horizontal="center" vertical="center" wrapText="1"/>
    </xf>
    <xf numFmtId="0" fontId="22" fillId="9" borderId="2" xfId="0" applyFont="1" applyFill="1" applyBorder="1" applyAlignment="1">
      <alignment horizontal="left" vertical="center" wrapText="1" indent="1"/>
    </xf>
    <xf numFmtId="4" fontId="13" fillId="9" borderId="2" xfId="0" applyNumberFormat="1" applyFont="1" applyFill="1" applyBorder="1" applyAlignment="1">
      <alignment horizontal="right" vertical="center"/>
    </xf>
    <xf numFmtId="0" fontId="13" fillId="7" borderId="2" xfId="0" applyFont="1" applyFill="1" applyBorder="1" applyAlignment="1">
      <alignment horizontal="left" vertical="center" wrapText="1" indent="1"/>
    </xf>
    <xf numFmtId="4" fontId="13" fillId="7" borderId="2" xfId="0" applyNumberFormat="1" applyFont="1" applyFill="1" applyBorder="1" applyAlignment="1">
      <alignment horizontal="right" vertical="center"/>
    </xf>
    <xf numFmtId="0" fontId="11" fillId="3" borderId="2" xfId="0" applyFont="1" applyFill="1" applyBorder="1" applyAlignment="1">
      <alignment horizontal="left" vertical="center" wrapText="1" indent="1"/>
    </xf>
    <xf numFmtId="4" fontId="11" fillId="3" borderId="2" xfId="0" applyNumberFormat="1" applyFont="1" applyFill="1" applyBorder="1" applyAlignment="1">
      <alignment horizontal="right" vertical="center"/>
    </xf>
    <xf numFmtId="0" fontId="11" fillId="2" borderId="2" xfId="0" applyFont="1" applyFill="1" applyBorder="1" applyAlignment="1">
      <alignment horizontal="left" vertical="center" wrapText="1" indent="1"/>
    </xf>
    <xf numFmtId="4" fontId="11" fillId="2" borderId="2" xfId="0" applyNumberFormat="1" applyFont="1" applyFill="1" applyBorder="1" applyAlignment="1">
      <alignment horizontal="right" vertical="center"/>
    </xf>
    <xf numFmtId="0" fontId="11" fillId="11" borderId="2" xfId="0" applyFont="1" applyFill="1" applyBorder="1" applyAlignment="1">
      <alignment horizontal="left" vertical="center" wrapText="1" indent="1"/>
    </xf>
    <xf numFmtId="4" fontId="23" fillId="11" borderId="2" xfId="0" applyNumberFormat="1" applyFont="1" applyFill="1" applyBorder="1" applyAlignment="1">
      <alignment horizontal="right" vertical="center"/>
    </xf>
    <xf numFmtId="0" fontId="24" fillId="4" borderId="2" xfId="0" applyFont="1" applyFill="1" applyBorder="1" applyAlignment="1">
      <alignment horizontal="left" vertical="center" wrapText="1" indent="3"/>
    </xf>
    <xf numFmtId="3" fontId="24" fillId="4" borderId="2" xfId="0" applyNumberFormat="1" applyFont="1" applyFill="1" applyBorder="1" applyAlignment="1">
      <alignment horizontal="right" vertical="center"/>
    </xf>
    <xf numFmtId="4" fontId="6" fillId="11" borderId="2" xfId="0" applyNumberFormat="1" applyFont="1" applyFill="1" applyBorder="1" applyAlignment="1">
      <alignment horizontal="right" vertical="center"/>
    </xf>
    <xf numFmtId="0" fontId="13" fillId="5" borderId="2" xfId="0" applyFont="1" applyFill="1" applyBorder="1" applyAlignment="1">
      <alignment horizontal="left" vertical="center" wrapText="1" indent="1"/>
    </xf>
    <xf numFmtId="4" fontId="13" fillId="5" borderId="2" xfId="0" applyNumberFormat="1" applyFont="1" applyFill="1" applyBorder="1" applyAlignment="1">
      <alignment horizontal="right" vertical="center"/>
    </xf>
    <xf numFmtId="0" fontId="26" fillId="2" borderId="2" xfId="0" applyFont="1" applyFill="1" applyBorder="1" applyAlignment="1">
      <alignment horizontal="left" vertical="center" wrapText="1" indent="1"/>
    </xf>
    <xf numFmtId="4" fontId="26" fillId="2" borderId="2" xfId="0" applyNumberFormat="1" applyFont="1" applyFill="1" applyBorder="1" applyAlignment="1">
      <alignment horizontal="right" vertical="center"/>
    </xf>
    <xf numFmtId="0" fontId="26" fillId="3" borderId="2" xfId="0" applyFont="1" applyFill="1" applyBorder="1" applyAlignment="1">
      <alignment horizontal="left" vertical="center" wrapText="1" indent="1"/>
    </xf>
    <xf numFmtId="4" fontId="26" fillId="3" borderId="2" xfId="0" applyNumberFormat="1" applyFont="1" applyFill="1" applyBorder="1" applyAlignment="1">
      <alignment horizontal="right" vertical="center"/>
    </xf>
    <xf numFmtId="0" fontId="27" fillId="14" borderId="2" xfId="0" applyFont="1" applyFill="1" applyBorder="1" applyAlignment="1">
      <alignment horizontal="left" vertical="center" wrapText="1" indent="1"/>
    </xf>
    <xf numFmtId="0" fontId="21" fillId="7" borderId="2" xfId="0" applyFont="1" applyFill="1" applyBorder="1" applyAlignment="1">
      <alignment horizontal="left" vertical="center" wrapText="1" indent="1"/>
    </xf>
    <xf numFmtId="0" fontId="13" fillId="3" borderId="2" xfId="0" applyFont="1" applyFill="1" applyBorder="1" applyAlignment="1">
      <alignment horizontal="left" vertical="center" wrapText="1" indent="2"/>
    </xf>
    <xf numFmtId="0" fontId="6" fillId="2" borderId="2" xfId="0" applyFont="1" applyFill="1" applyBorder="1" applyAlignment="1">
      <alignment horizontal="left" vertical="center" wrapText="1" indent="1"/>
    </xf>
    <xf numFmtId="4" fontId="6" fillId="2" borderId="2" xfId="0" applyNumberFormat="1" applyFont="1" applyFill="1" applyBorder="1" applyAlignment="1">
      <alignment horizontal="right" vertical="center"/>
    </xf>
    <xf numFmtId="0" fontId="26" fillId="11" borderId="2" xfId="0" applyFont="1" applyFill="1" applyBorder="1" applyAlignment="1">
      <alignment horizontal="left" vertical="center" wrapText="1" indent="1"/>
    </xf>
    <xf numFmtId="4" fontId="28" fillId="11" borderId="2" xfId="0" applyNumberFormat="1" applyFont="1" applyFill="1" applyBorder="1" applyAlignment="1">
      <alignment horizontal="right" vertical="center"/>
    </xf>
    <xf numFmtId="0" fontId="1" fillId="2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1" fillId="3" borderId="0" xfId="0" applyFont="1" applyFill="1" applyProtection="1">
      <protection locked="0"/>
    </xf>
    <xf numFmtId="0" fontId="5" fillId="2" borderId="0" xfId="0" applyFont="1" applyFill="1" applyAlignment="1" applyProtection="1">
      <alignment horizontal="left" vertical="center" wrapText="1" indent="1"/>
      <protection locked="0"/>
    </xf>
    <xf numFmtId="0" fontId="6" fillId="2" borderId="1" xfId="0" applyFont="1" applyFill="1" applyBorder="1" applyAlignment="1" applyProtection="1">
      <alignment horizontal="left" vertical="center" wrapText="1" indent="1"/>
      <protection locked="0"/>
    </xf>
    <xf numFmtId="0" fontId="8" fillId="2" borderId="0" xfId="0" applyFont="1" applyFill="1" applyAlignment="1" applyProtection="1">
      <alignment horizontal="left" vertical="center" wrapText="1" indent="1"/>
      <protection locked="0"/>
    </xf>
    <xf numFmtId="0" fontId="9" fillId="2" borderId="0" xfId="0" applyFont="1" applyFill="1" applyAlignment="1" applyProtection="1">
      <alignment horizontal="left" vertical="center" wrapText="1" indent="1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7" fillId="2" borderId="0" xfId="0" applyFont="1" applyFill="1" applyAlignment="1" applyProtection="1">
      <alignment horizontal="left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6" fillId="9" borderId="0" xfId="0" applyFont="1" applyFill="1" applyAlignment="1">
      <alignment horizontal="left" vertical="center" wrapText="1" indent="1"/>
    </xf>
    <xf numFmtId="0" fontId="13" fillId="2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left" vertical="center" wrapText="1" indent="1"/>
    </xf>
    <xf numFmtId="0" fontId="6" fillId="8" borderId="0" xfId="0" applyFont="1" applyFill="1" applyAlignment="1">
      <alignment horizontal="left" vertical="center" wrapText="1" indent="1"/>
    </xf>
    <xf numFmtId="0" fontId="11" fillId="2" borderId="0" xfId="0" applyFont="1" applyFill="1" applyAlignment="1">
      <alignment horizontal="left" vertical="center" wrapText="1" indent="1"/>
    </xf>
    <xf numFmtId="0" fontId="12" fillId="4" borderId="0" xfId="0" applyFont="1" applyFill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 indent="1"/>
    </xf>
    <xf numFmtId="0" fontId="14" fillId="4" borderId="0" xfId="0" applyFont="1" applyFill="1" applyAlignment="1">
      <alignment horizontal="left" vertical="center" wrapText="1" indent="1"/>
    </xf>
    <xf numFmtId="0" fontId="13" fillId="10" borderId="0" xfId="0" applyFont="1" applyFill="1" applyAlignment="1">
      <alignment horizontal="left" vertical="center" wrapText="1" indent="1"/>
    </xf>
    <xf numFmtId="0" fontId="13" fillId="10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left" vertical="center" wrapText="1" indent="1"/>
    </xf>
    <xf numFmtId="0" fontId="6" fillId="3" borderId="0" xfId="0" applyFont="1" applyFill="1" applyAlignment="1">
      <alignment horizontal="left" vertical="center" wrapText="1" indent="1"/>
    </xf>
    <xf numFmtId="0" fontId="25" fillId="9" borderId="0" xfId="0" applyFont="1" applyFill="1" applyAlignment="1">
      <alignment horizontal="left" vertical="center" wrapText="1" indent="1"/>
    </xf>
    <xf numFmtId="0" fontId="6" fillId="13" borderId="0" xfId="0" applyFont="1" applyFill="1" applyAlignment="1">
      <alignment horizontal="left" vertical="center" wrapText="1" indent="1"/>
    </xf>
    <xf numFmtId="0" fontId="29" fillId="4" borderId="0" xfId="0" applyFont="1" applyFill="1" applyAlignment="1">
      <alignment horizontal="left" vertical="center" wrapText="1" indent="2"/>
    </xf>
    <xf numFmtId="0" fontId="16" fillId="4" borderId="0" xfId="0" applyFont="1" applyFill="1" applyAlignment="1">
      <alignment horizontal="center" vertical="center" wrapText="1"/>
    </xf>
    <xf numFmtId="0" fontId="22" fillId="4" borderId="0" xfId="0" applyFont="1" applyFill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B0000"/>
      <rgbColor rgb="FF008000"/>
      <rgbColor rgb="FF000080"/>
      <rgbColor rgb="FF808000"/>
      <rgbColor rgb="FF800080"/>
      <rgbColor rgb="FF117A65"/>
      <rgbColor rgb="FFBDBDBD"/>
      <rgbColor rgb="FF7F8C8D"/>
      <rgbColor rgb="FF9999FF"/>
      <rgbColor rgb="FF6C3483"/>
      <rgbColor rgb="FFFCF3CF"/>
      <rgbColor rgb="FFD6EAF8"/>
      <rgbColor rgb="FF660066"/>
      <rgbColor rgb="FFFF8080"/>
      <rgbColor rgb="FF0066CC"/>
      <rgbColor rgb="FFD7BD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5FB"/>
      <rgbColor rgb="FFD5F5E3"/>
      <rgbColor rgb="FFFDEDEC"/>
      <rgbColor rgb="FFAED6F1"/>
      <rgbColor rgb="FFFF99CC"/>
      <rgbColor rgb="FFBDC3C7"/>
      <rgbColor rgb="FFF2F3F4"/>
      <rgbColor rgb="FF2E86C1"/>
      <rgbColor rgb="FF33CCCC"/>
      <rgbColor rgb="FF99CC00"/>
      <rgbColor rgb="FFFFCC00"/>
      <rgbColor rgb="FFD4AC0D"/>
      <rgbColor rgb="FFFF6600"/>
      <rgbColor rgb="FF455A64"/>
      <rgbColor rgb="FF969696"/>
      <rgbColor rgb="FF1B4F72"/>
      <rgbColor rgb="FF339966"/>
      <rgbColor rgb="FF0D1B2A"/>
      <rgbColor rgb="FF1A1A1A"/>
      <rgbColor rgb="FFA04000"/>
      <rgbColor rgb="FF555555"/>
      <rgbColor rgb="FF1A5276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D1B2A"/>
  </sheetPr>
  <dimension ref="A1:F61"/>
  <sheetViews>
    <sheetView zoomScaleNormal="100" workbookViewId="0">
      <selection sqref="A1:E9"/>
    </sheetView>
  </sheetViews>
  <sheetFormatPr defaultColWidth="8.7109375" defaultRowHeight="15" x14ac:dyDescent="0.25"/>
  <cols>
    <col min="1" max="1" width="4" style="69" customWidth="1"/>
    <col min="2" max="2" width="34" style="69" customWidth="1"/>
    <col min="3" max="3" width="51" style="69" customWidth="1"/>
    <col min="4" max="4" width="4" style="69" customWidth="1"/>
    <col min="5" max="16384" width="8.7109375" style="69"/>
  </cols>
  <sheetData>
    <row r="1" spans="1:6" ht="18" customHeight="1" x14ac:dyDescent="0.25">
      <c r="A1" s="75"/>
      <c r="B1" s="75"/>
      <c r="C1" s="75"/>
      <c r="D1" s="75"/>
      <c r="E1" s="75"/>
      <c r="F1" s="75"/>
    </row>
    <row r="2" spans="1:6" ht="31.5" customHeight="1" x14ac:dyDescent="0.25">
      <c r="A2" s="75"/>
      <c r="B2" s="76" t="s">
        <v>0</v>
      </c>
      <c r="C2" s="76"/>
      <c r="D2" s="75"/>
      <c r="E2" s="75"/>
      <c r="F2" s="75"/>
    </row>
    <row r="3" spans="1:6" ht="27.75" customHeight="1" x14ac:dyDescent="0.25">
      <c r="A3" s="75"/>
      <c r="B3" s="76"/>
      <c r="C3" s="76"/>
      <c r="D3" s="75"/>
      <c r="E3" s="75"/>
      <c r="F3" s="75"/>
    </row>
    <row r="4" spans="1:6" ht="19.5" customHeight="1" x14ac:dyDescent="0.25">
      <c r="A4" s="75"/>
      <c r="B4" s="77" t="s">
        <v>1</v>
      </c>
      <c r="C4" s="77"/>
      <c r="D4" s="75"/>
      <c r="E4" s="75"/>
      <c r="F4" s="75"/>
    </row>
    <row r="5" spans="1:6" ht="15.75" customHeight="1" x14ac:dyDescent="0.25">
      <c r="A5" s="75"/>
      <c r="B5" s="77"/>
      <c r="C5" s="77"/>
      <c r="D5" s="75"/>
      <c r="E5" s="75"/>
      <c r="F5" s="75"/>
    </row>
    <row r="6" spans="1:6" ht="18" customHeight="1" x14ac:dyDescent="0.25">
      <c r="A6" s="75"/>
      <c r="B6" s="75"/>
      <c r="C6" s="75"/>
      <c r="D6" s="75"/>
      <c r="E6" s="75"/>
      <c r="F6" s="75"/>
    </row>
    <row r="7" spans="1:6" ht="31.5" customHeight="1" x14ac:dyDescent="0.25">
      <c r="A7" s="75"/>
      <c r="B7" s="78" t="s">
        <v>2</v>
      </c>
      <c r="C7" s="78"/>
      <c r="D7" s="75"/>
      <c r="E7" s="75"/>
      <c r="F7" s="75"/>
    </row>
    <row r="8" spans="1:6" ht="27.75" customHeight="1" x14ac:dyDescent="0.25">
      <c r="A8" s="75"/>
      <c r="B8" s="78"/>
      <c r="C8" s="78"/>
      <c r="D8" s="75"/>
      <c r="E8" s="75"/>
      <c r="F8" s="75"/>
    </row>
    <row r="9" spans="1:6" ht="18" customHeight="1" x14ac:dyDescent="0.25">
      <c r="A9" s="75"/>
      <c r="B9" s="75"/>
      <c r="C9" s="75"/>
      <c r="D9" s="75"/>
      <c r="E9" s="75"/>
      <c r="F9" s="75"/>
    </row>
    <row r="10" spans="1:6" ht="3" customHeight="1" x14ac:dyDescent="0.25">
      <c r="A10" s="68"/>
      <c r="B10" s="70"/>
      <c r="C10" s="70"/>
      <c r="D10" s="70"/>
      <c r="E10" s="68"/>
      <c r="F10" s="68"/>
    </row>
    <row r="11" spans="1:6" ht="18" customHeight="1" x14ac:dyDescent="0.25">
      <c r="A11" s="68"/>
      <c r="B11" s="68"/>
      <c r="C11" s="68"/>
      <c r="D11" s="68"/>
      <c r="E11" s="68"/>
      <c r="F11" s="68"/>
    </row>
    <row r="12" spans="1:6" ht="19.5" customHeight="1" x14ac:dyDescent="0.25">
      <c r="A12" s="68"/>
      <c r="B12" s="71" t="s">
        <v>3</v>
      </c>
      <c r="C12" s="72" t="str">
        <f>'⚙ SETUP'!C5</f>
        <v>Pinnacle Agro Industries Pvt Ltd</v>
      </c>
      <c r="D12" s="68"/>
      <c r="E12" s="68"/>
      <c r="F12" s="68"/>
    </row>
    <row r="13" spans="1:6" ht="19.5" customHeight="1" x14ac:dyDescent="0.25">
      <c r="A13" s="68"/>
      <c r="B13" s="71" t="s">
        <v>4</v>
      </c>
      <c r="C13" s="72" t="str">
        <f>'⚙ SETUP'!C6</f>
        <v>Food Processing / Agro-based Manufacturing</v>
      </c>
      <c r="D13" s="68"/>
      <c r="E13" s="68"/>
      <c r="F13" s="68"/>
    </row>
    <row r="14" spans="1:6" ht="19.5" customHeight="1" x14ac:dyDescent="0.25">
      <c r="A14" s="68"/>
      <c r="B14" s="71" t="s">
        <v>5</v>
      </c>
      <c r="C14" s="72" t="str">
        <f>'⚙ SETUP'!C7</f>
        <v>Private Limited Company</v>
      </c>
      <c r="D14" s="68"/>
      <c r="E14" s="68"/>
      <c r="F14" s="68"/>
    </row>
    <row r="15" spans="1:6" ht="19.5" customHeight="1" x14ac:dyDescent="0.25">
      <c r="A15" s="68"/>
      <c r="B15" s="71" t="s">
        <v>6</v>
      </c>
      <c r="C15" s="72" t="str">
        <f>'⚙ SETUP'!C8</f>
        <v>AABCP1234F</v>
      </c>
      <c r="D15" s="68"/>
      <c r="E15" s="68"/>
      <c r="F15" s="68"/>
    </row>
    <row r="16" spans="1:6" ht="19.5" customHeight="1" x14ac:dyDescent="0.25">
      <c r="A16" s="68"/>
      <c r="B16" s="71" t="s">
        <v>7</v>
      </c>
      <c r="C16" s="72" t="str">
        <f>'⚙ SETUP'!C9</f>
        <v>07AABCP1234F1Z5</v>
      </c>
      <c r="D16" s="68"/>
      <c r="E16" s="68"/>
      <c r="F16" s="68"/>
    </row>
    <row r="17" spans="1:6" ht="19.5" customHeight="1" x14ac:dyDescent="0.25">
      <c r="A17" s="68"/>
      <c r="B17" s="71" t="s">
        <v>8</v>
      </c>
      <c r="C17" s="72" t="str">
        <f>'⚙ SETUP'!C10</f>
        <v>State Bank of India, Commercial Branch, Rohini, Delhi</v>
      </c>
      <c r="D17" s="68"/>
      <c r="E17" s="68"/>
      <c r="F17" s="68"/>
    </row>
    <row r="18" spans="1:6" ht="19.5" customHeight="1" x14ac:dyDescent="0.25">
      <c r="A18" s="68"/>
      <c r="B18" s="71" t="s">
        <v>9</v>
      </c>
      <c r="C18" s="72" t="str">
        <f>'⚙ SETUP'!C11</f>
        <v>Cash Credit (CC) + Term Loan</v>
      </c>
      <c r="D18" s="68"/>
      <c r="E18" s="68"/>
      <c r="F18" s="68"/>
    </row>
    <row r="19" spans="1:6" ht="19.5" customHeight="1" x14ac:dyDescent="0.25">
      <c r="A19" s="68"/>
      <c r="B19" s="71" t="s">
        <v>10</v>
      </c>
      <c r="C19" s="72">
        <f>'⚙ SETUP'!C12</f>
        <v>500</v>
      </c>
      <c r="D19" s="68"/>
      <c r="E19" s="68"/>
      <c r="F19" s="68"/>
    </row>
    <row r="20" spans="1:6" ht="19.5" customHeight="1" x14ac:dyDescent="0.25">
      <c r="A20" s="68"/>
      <c r="B20" s="71" t="s">
        <v>11</v>
      </c>
      <c r="C20" s="72" t="str">
        <f>'⚙ SETUP'!C13</f>
        <v>M/s. Roy &amp; Associates, Chartered Accountants, Membership No. 123456</v>
      </c>
      <c r="D20" s="68"/>
      <c r="E20" s="68"/>
      <c r="F20" s="68"/>
    </row>
    <row r="21" spans="1:6" ht="19.5" customHeight="1" x14ac:dyDescent="0.25">
      <c r="A21" s="68"/>
      <c r="B21" s="71" t="s">
        <v>12</v>
      </c>
      <c r="C21" s="72" t="str">
        <f>'⚙ SETUP'!C14</f>
        <v>30-Sep-2025</v>
      </c>
      <c r="D21" s="68"/>
      <c r="E21" s="68"/>
      <c r="F21" s="68"/>
    </row>
    <row r="22" spans="1:6" ht="18" customHeight="1" x14ac:dyDescent="0.25">
      <c r="A22" s="68"/>
      <c r="B22" s="68"/>
      <c r="C22" s="68"/>
      <c r="D22" s="68"/>
      <c r="E22" s="68"/>
      <c r="F22" s="68"/>
    </row>
    <row r="23" spans="1:6" ht="7.5" customHeight="1" x14ac:dyDescent="0.25">
      <c r="A23" s="68"/>
      <c r="B23" s="68"/>
      <c r="C23" s="68"/>
      <c r="D23" s="68"/>
      <c r="E23" s="68"/>
      <c r="F23" s="68"/>
    </row>
    <row r="24" spans="1:6" ht="21.75" customHeight="1" x14ac:dyDescent="0.25">
      <c r="A24" s="68"/>
      <c r="B24" s="79" t="s">
        <v>13</v>
      </c>
      <c r="C24" s="79"/>
      <c r="D24" s="68"/>
      <c r="E24" s="68"/>
      <c r="F24" s="68"/>
    </row>
    <row r="25" spans="1:6" ht="18.75" customHeight="1" x14ac:dyDescent="0.25">
      <c r="A25" s="68"/>
      <c r="B25" s="73" t="s">
        <v>14</v>
      </c>
      <c r="C25" s="74" t="s">
        <v>15</v>
      </c>
      <c r="D25" s="68"/>
      <c r="E25" s="68"/>
      <c r="F25" s="68"/>
    </row>
    <row r="26" spans="1:6" ht="18.75" customHeight="1" x14ac:dyDescent="0.25">
      <c r="A26" s="68"/>
      <c r="B26" s="73" t="s">
        <v>16</v>
      </c>
      <c r="C26" s="74" t="s">
        <v>17</v>
      </c>
      <c r="D26" s="68"/>
      <c r="E26" s="68"/>
      <c r="F26" s="68"/>
    </row>
    <row r="27" spans="1:6" ht="18.75" customHeight="1" x14ac:dyDescent="0.25">
      <c r="A27" s="68"/>
      <c r="B27" s="73" t="s">
        <v>18</v>
      </c>
      <c r="C27" s="74" t="s">
        <v>19</v>
      </c>
      <c r="D27" s="68"/>
      <c r="E27" s="68"/>
      <c r="F27" s="68"/>
    </row>
    <row r="28" spans="1:6" ht="18.75" customHeight="1" x14ac:dyDescent="0.25">
      <c r="A28" s="68"/>
      <c r="B28" s="73" t="s">
        <v>20</v>
      </c>
      <c r="C28" s="74" t="s">
        <v>21</v>
      </c>
      <c r="D28" s="68"/>
      <c r="E28" s="68"/>
      <c r="F28" s="68"/>
    </row>
    <row r="29" spans="1:6" ht="18.75" customHeight="1" x14ac:dyDescent="0.25">
      <c r="A29" s="68"/>
      <c r="B29" s="73" t="s">
        <v>22</v>
      </c>
      <c r="C29" s="74" t="s">
        <v>23</v>
      </c>
      <c r="D29" s="68"/>
      <c r="E29" s="68"/>
      <c r="F29" s="68"/>
    </row>
    <row r="30" spans="1:6" ht="18.75" customHeight="1" x14ac:dyDescent="0.25">
      <c r="A30" s="68"/>
      <c r="B30" s="73" t="s">
        <v>24</v>
      </c>
      <c r="C30" s="74" t="s">
        <v>25</v>
      </c>
      <c r="D30" s="68"/>
      <c r="E30" s="68"/>
      <c r="F30" s="68"/>
    </row>
    <row r="31" spans="1:6" ht="18.75" customHeight="1" x14ac:dyDescent="0.25">
      <c r="A31" s="68"/>
      <c r="B31" s="73" t="s">
        <v>26</v>
      </c>
      <c r="C31" s="74" t="s">
        <v>27</v>
      </c>
      <c r="D31" s="68"/>
      <c r="E31" s="68"/>
      <c r="F31" s="68"/>
    </row>
    <row r="32" spans="1:6" ht="18.75" customHeight="1" x14ac:dyDescent="0.25">
      <c r="A32" s="68"/>
      <c r="B32" s="73" t="s">
        <v>28</v>
      </c>
      <c r="C32" s="74" t="s">
        <v>29</v>
      </c>
      <c r="D32" s="68"/>
      <c r="E32" s="68"/>
      <c r="F32" s="68"/>
    </row>
    <row r="33" spans="1:6" ht="18" customHeight="1" x14ac:dyDescent="0.25">
      <c r="A33" s="68"/>
      <c r="B33" s="68"/>
      <c r="C33" s="68"/>
      <c r="D33" s="68"/>
      <c r="E33" s="68"/>
      <c r="F33" s="68"/>
    </row>
    <row r="34" spans="1:6" ht="18" customHeight="1" x14ac:dyDescent="0.25">
      <c r="A34" s="68"/>
      <c r="B34" s="68"/>
      <c r="C34" s="68"/>
      <c r="D34" s="68"/>
      <c r="E34" s="68"/>
      <c r="F34" s="68"/>
    </row>
    <row r="35" spans="1:6" ht="18" customHeight="1" x14ac:dyDescent="0.25">
      <c r="A35" s="68"/>
      <c r="B35" s="68"/>
      <c r="C35" s="68"/>
      <c r="D35" s="68"/>
      <c r="E35" s="68"/>
      <c r="F35" s="68"/>
    </row>
    <row r="36" spans="1:6" ht="18" customHeight="1" x14ac:dyDescent="0.25">
      <c r="A36" s="68"/>
      <c r="B36" s="68"/>
      <c r="C36" s="68"/>
      <c r="D36" s="68"/>
      <c r="E36" s="68"/>
      <c r="F36" s="68"/>
    </row>
    <row r="37" spans="1:6" ht="18" customHeight="1" x14ac:dyDescent="0.25">
      <c r="A37" s="68"/>
      <c r="B37" s="68"/>
      <c r="C37" s="68"/>
      <c r="D37" s="68"/>
      <c r="E37" s="68"/>
      <c r="F37" s="68"/>
    </row>
    <row r="38" spans="1:6" ht="18" customHeight="1" x14ac:dyDescent="0.25">
      <c r="A38" s="68"/>
      <c r="B38" s="68"/>
      <c r="C38" s="68"/>
      <c r="D38" s="68"/>
      <c r="E38" s="68"/>
      <c r="F38" s="68"/>
    </row>
    <row r="39" spans="1:6" ht="18" customHeight="1" x14ac:dyDescent="0.25">
      <c r="A39" s="68"/>
      <c r="B39" s="68"/>
      <c r="C39" s="68"/>
      <c r="D39" s="68"/>
      <c r="E39" s="68"/>
      <c r="F39" s="68"/>
    </row>
    <row r="40" spans="1:6" ht="18" customHeight="1" x14ac:dyDescent="0.25">
      <c r="A40" s="68"/>
      <c r="B40" s="68"/>
      <c r="C40" s="68"/>
      <c r="D40" s="68"/>
      <c r="E40" s="68"/>
      <c r="F40" s="68"/>
    </row>
    <row r="41" spans="1:6" ht="18" customHeight="1" x14ac:dyDescent="0.25">
      <c r="A41" s="68"/>
      <c r="B41" s="68"/>
      <c r="C41" s="68"/>
      <c r="D41" s="68"/>
      <c r="E41" s="68"/>
      <c r="F41" s="68"/>
    </row>
    <row r="42" spans="1:6" ht="18" customHeight="1" x14ac:dyDescent="0.25">
      <c r="A42" s="68"/>
      <c r="B42" s="68"/>
      <c r="C42" s="68"/>
      <c r="D42" s="68"/>
      <c r="E42" s="68"/>
      <c r="F42" s="68"/>
    </row>
    <row r="43" spans="1:6" ht="18" customHeight="1" x14ac:dyDescent="0.25">
      <c r="A43" s="68"/>
      <c r="B43" s="68"/>
      <c r="C43" s="68"/>
      <c r="D43" s="68"/>
      <c r="E43" s="68"/>
      <c r="F43" s="68"/>
    </row>
    <row r="44" spans="1:6" ht="18" customHeight="1" x14ac:dyDescent="0.25">
      <c r="A44" s="68"/>
      <c r="B44" s="68"/>
      <c r="C44" s="68"/>
      <c r="D44" s="68"/>
      <c r="E44" s="68"/>
      <c r="F44" s="68"/>
    </row>
    <row r="45" spans="1:6" ht="18" customHeight="1" x14ac:dyDescent="0.25">
      <c r="A45" s="68"/>
      <c r="B45" s="68"/>
      <c r="C45" s="68"/>
      <c r="D45" s="68"/>
      <c r="E45" s="68"/>
      <c r="F45" s="68"/>
    </row>
    <row r="46" spans="1:6" ht="18" customHeight="1" x14ac:dyDescent="0.25">
      <c r="A46" s="68"/>
      <c r="B46" s="68"/>
      <c r="C46" s="68"/>
      <c r="D46" s="68"/>
      <c r="E46" s="68"/>
      <c r="F46" s="68"/>
    </row>
    <row r="47" spans="1:6" ht="18" customHeight="1" x14ac:dyDescent="0.25">
      <c r="A47" s="68"/>
      <c r="B47" s="68"/>
      <c r="C47" s="68"/>
      <c r="D47" s="68"/>
      <c r="E47" s="68"/>
      <c r="F47" s="68"/>
    </row>
    <row r="48" spans="1:6" ht="18" customHeight="1" x14ac:dyDescent="0.25">
      <c r="A48" s="68"/>
      <c r="B48" s="68"/>
      <c r="C48" s="68"/>
      <c r="D48" s="68"/>
      <c r="E48" s="68"/>
      <c r="F48" s="68"/>
    </row>
    <row r="49" spans="1:6" ht="18" customHeight="1" x14ac:dyDescent="0.25">
      <c r="A49" s="68"/>
      <c r="B49" s="68"/>
      <c r="C49" s="68"/>
      <c r="D49" s="68"/>
      <c r="E49" s="68"/>
      <c r="F49" s="68"/>
    </row>
    <row r="50" spans="1:6" ht="18" customHeight="1" x14ac:dyDescent="0.25">
      <c r="A50" s="68"/>
      <c r="B50" s="68"/>
      <c r="C50" s="68"/>
      <c r="D50" s="68"/>
      <c r="E50" s="68"/>
      <c r="F50" s="68"/>
    </row>
    <row r="51" spans="1:6" ht="18" customHeight="1" x14ac:dyDescent="0.25">
      <c r="A51" s="68"/>
      <c r="B51" s="68"/>
      <c r="C51" s="68"/>
      <c r="D51" s="68"/>
      <c r="E51" s="68"/>
      <c r="F51" s="68"/>
    </row>
    <row r="52" spans="1:6" ht="18" customHeight="1" x14ac:dyDescent="0.25">
      <c r="A52" s="68"/>
      <c r="B52" s="68"/>
      <c r="C52" s="68"/>
      <c r="D52" s="68"/>
      <c r="E52" s="68"/>
      <c r="F52" s="68"/>
    </row>
    <row r="53" spans="1:6" ht="18" customHeight="1" x14ac:dyDescent="0.25">
      <c r="A53" s="68"/>
      <c r="B53" s="68"/>
      <c r="C53" s="68"/>
      <c r="D53" s="68"/>
      <c r="E53" s="68"/>
      <c r="F53" s="68"/>
    </row>
    <row r="54" spans="1:6" ht="18" customHeight="1" x14ac:dyDescent="0.25">
      <c r="A54" s="68"/>
      <c r="B54" s="68"/>
      <c r="C54" s="68"/>
      <c r="D54" s="68"/>
      <c r="E54" s="68"/>
      <c r="F54" s="68"/>
    </row>
    <row r="55" spans="1:6" ht="18" customHeight="1" x14ac:dyDescent="0.25">
      <c r="A55" s="68"/>
      <c r="B55" s="68"/>
      <c r="C55" s="68"/>
      <c r="D55" s="68"/>
      <c r="E55" s="68"/>
      <c r="F55" s="68"/>
    </row>
    <row r="56" spans="1:6" ht="18" customHeight="1" x14ac:dyDescent="0.25">
      <c r="A56" s="68"/>
      <c r="B56" s="68"/>
      <c r="C56" s="68"/>
      <c r="D56" s="68"/>
      <c r="E56" s="68"/>
      <c r="F56" s="68"/>
    </row>
    <row r="57" spans="1:6" ht="18" customHeight="1" x14ac:dyDescent="0.25">
      <c r="A57" s="68"/>
      <c r="B57" s="68"/>
      <c r="C57" s="68"/>
      <c r="D57" s="68"/>
      <c r="E57" s="68"/>
      <c r="F57" s="68"/>
    </row>
    <row r="58" spans="1:6" ht="18" customHeight="1" x14ac:dyDescent="0.25">
      <c r="A58" s="68"/>
      <c r="B58" s="68"/>
      <c r="C58" s="68"/>
      <c r="D58" s="68"/>
      <c r="E58" s="68"/>
      <c r="F58" s="68"/>
    </row>
    <row r="59" spans="1:6" ht="18" customHeight="1" x14ac:dyDescent="0.25">
      <c r="A59" s="68"/>
      <c r="B59" s="68"/>
      <c r="C59" s="68"/>
      <c r="D59" s="68"/>
      <c r="E59" s="68"/>
      <c r="F59" s="68"/>
    </row>
    <row r="60" spans="1:6" ht="18" customHeight="1" x14ac:dyDescent="0.25">
      <c r="A60" s="68"/>
      <c r="B60" s="80" t="s">
        <v>30</v>
      </c>
      <c r="C60" s="80"/>
      <c r="D60" s="68"/>
      <c r="E60" s="68"/>
      <c r="F60" s="68"/>
    </row>
    <row r="61" spans="1:6" ht="18" customHeight="1" x14ac:dyDescent="0.25">
      <c r="A61" s="68"/>
      <c r="B61" s="68"/>
      <c r="C61" s="68"/>
      <c r="D61" s="68"/>
      <c r="E61" s="68"/>
      <c r="F61" s="68"/>
    </row>
  </sheetData>
  <sheetProtection algorithmName="SHA-512" hashValue="IlWubenYaSCDiEt4lEj+pKfE7/6v2xPmgOAFHnmV8h+e0EeNCB1GZmvgZOtqBZONFVpUzy2lzpAdNrPeU9FXuQ==" saltValue="2v9fKd2XRe7j2onAQVMI+w==" spinCount="100000" sheet="1" objects="1" scenarios="1"/>
  <mergeCells count="5">
    <mergeCell ref="B2:C3"/>
    <mergeCell ref="B4:C5"/>
    <mergeCell ref="B7:C8"/>
    <mergeCell ref="B24:C24"/>
    <mergeCell ref="B60:C60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C3483"/>
  </sheetPr>
  <dimension ref="A1:H43"/>
  <sheetViews>
    <sheetView zoomScaleNormal="100" workbookViewId="0">
      <pane ySplit="2" topLeftCell="A3" activePane="bottomLeft" state="frozen"/>
      <selection pane="bottomLeft" activeCell="A18" sqref="A18"/>
    </sheetView>
  </sheetViews>
  <sheetFormatPr defaultColWidth="34.42578125" defaultRowHeight="15" x14ac:dyDescent="0.25"/>
  <cols>
    <col min="1" max="1" width="37.140625" style="1" customWidth="1"/>
    <col min="2" max="2" width="0.7109375" style="1" customWidth="1"/>
    <col min="3" max="3" width="34.42578125" style="1"/>
    <col min="4" max="4" width="45.140625" style="1" customWidth="1"/>
    <col min="5" max="16384" width="34.42578125" style="1"/>
  </cols>
  <sheetData>
    <row r="1" spans="1:8" ht="30" customHeight="1" x14ac:dyDescent="0.25">
      <c r="A1" s="85" t="s">
        <v>31</v>
      </c>
      <c r="B1" s="85"/>
      <c r="C1" s="85"/>
      <c r="D1" s="85"/>
    </row>
    <row r="2" spans="1:8" ht="15" customHeight="1" x14ac:dyDescent="0.25">
      <c r="A2" s="86" t="s">
        <v>32</v>
      </c>
      <c r="B2" s="86"/>
      <c r="C2" s="86"/>
      <c r="D2" s="86"/>
    </row>
    <row r="3" spans="1:8" ht="21.75" customHeight="1" x14ac:dyDescent="0.25">
      <c r="A3" s="83" t="s">
        <v>33</v>
      </c>
      <c r="B3" s="83"/>
      <c r="C3" s="83"/>
      <c r="D3" s="83"/>
      <c r="E3" s="83"/>
      <c r="F3" s="83"/>
      <c r="G3" s="83"/>
      <c r="H3" s="83"/>
    </row>
    <row r="4" spans="1:8" ht="19.5" customHeight="1" x14ac:dyDescent="0.25">
      <c r="A4" s="82" t="s">
        <v>34</v>
      </c>
      <c r="B4" s="82"/>
      <c r="C4" s="2" t="s">
        <v>35</v>
      </c>
      <c r="D4" s="2" t="s">
        <v>36</v>
      </c>
    </row>
    <row r="5" spans="1:8" ht="19.5" customHeight="1" x14ac:dyDescent="0.25">
      <c r="A5" s="3" t="s">
        <v>3</v>
      </c>
      <c r="C5" s="4" t="s">
        <v>37</v>
      </c>
      <c r="D5" s="5" t="s">
        <v>38</v>
      </c>
    </row>
    <row r="6" spans="1:8" ht="19.5" customHeight="1" x14ac:dyDescent="0.25">
      <c r="A6" s="3" t="s">
        <v>4</v>
      </c>
      <c r="C6" s="4" t="s">
        <v>39</v>
      </c>
      <c r="D6" s="5" t="s">
        <v>40</v>
      </c>
    </row>
    <row r="7" spans="1:8" ht="19.5" customHeight="1" x14ac:dyDescent="0.25">
      <c r="A7" s="3" t="s">
        <v>5</v>
      </c>
      <c r="C7" s="4" t="s">
        <v>41</v>
      </c>
      <c r="D7" s="5" t="s">
        <v>42</v>
      </c>
    </row>
    <row r="8" spans="1:8" ht="19.5" customHeight="1" x14ac:dyDescent="0.25">
      <c r="A8" s="3" t="s">
        <v>6</v>
      </c>
      <c r="C8" s="4" t="s">
        <v>43</v>
      </c>
      <c r="D8" s="5" t="s">
        <v>44</v>
      </c>
    </row>
    <row r="9" spans="1:8" ht="19.5" customHeight="1" x14ac:dyDescent="0.25">
      <c r="A9" s="3" t="s">
        <v>7</v>
      </c>
      <c r="C9" s="4" t="s">
        <v>45</v>
      </c>
      <c r="D9" s="5" t="s">
        <v>46</v>
      </c>
    </row>
    <row r="10" spans="1:8" ht="19.5" customHeight="1" x14ac:dyDescent="0.25">
      <c r="A10" s="3" t="s">
        <v>8</v>
      </c>
      <c r="C10" s="4" t="s">
        <v>47</v>
      </c>
      <c r="D10" s="5" t="s">
        <v>48</v>
      </c>
    </row>
    <row r="11" spans="1:8" ht="19.5" customHeight="1" x14ac:dyDescent="0.25">
      <c r="A11" s="3" t="s">
        <v>9</v>
      </c>
      <c r="C11" s="4" t="s">
        <v>49</v>
      </c>
      <c r="D11" s="5" t="s">
        <v>50</v>
      </c>
    </row>
    <row r="12" spans="1:8" ht="19.5" customHeight="1" x14ac:dyDescent="0.25">
      <c r="A12" s="3" t="s">
        <v>10</v>
      </c>
      <c r="C12" s="4">
        <v>500</v>
      </c>
      <c r="D12" s="5" t="s">
        <v>51</v>
      </c>
    </row>
    <row r="13" spans="1:8" ht="19.5" customHeight="1" x14ac:dyDescent="0.25">
      <c r="A13" s="3" t="s">
        <v>11</v>
      </c>
      <c r="C13" s="4" t="s">
        <v>52</v>
      </c>
      <c r="D13" s="5" t="s">
        <v>53</v>
      </c>
    </row>
    <row r="14" spans="1:8" ht="19.5" customHeight="1" x14ac:dyDescent="0.25">
      <c r="A14" s="3" t="s">
        <v>12</v>
      </c>
      <c r="C14" s="4" t="s">
        <v>54</v>
      </c>
      <c r="D14" s="5" t="s">
        <v>55</v>
      </c>
    </row>
    <row r="16" spans="1:8" ht="21.75" customHeight="1" x14ac:dyDescent="0.25">
      <c r="A16" s="83" t="s">
        <v>56</v>
      </c>
      <c r="B16" s="83"/>
      <c r="C16" s="83"/>
      <c r="D16" s="83"/>
      <c r="E16" s="83"/>
      <c r="F16" s="83"/>
      <c r="G16" s="83"/>
      <c r="H16" s="83"/>
    </row>
    <row r="17" spans="1:8" ht="19.5" customHeight="1" x14ac:dyDescent="0.25">
      <c r="A17" s="82" t="s">
        <v>34</v>
      </c>
      <c r="B17" s="82"/>
      <c r="C17" s="2" t="s">
        <v>35</v>
      </c>
      <c r="D17" s="2" t="s">
        <v>36</v>
      </c>
    </row>
    <row r="18" spans="1:8" ht="24.75" customHeight="1" x14ac:dyDescent="0.25">
      <c r="A18" s="3" t="s">
        <v>57</v>
      </c>
      <c r="C18" s="6">
        <v>2024</v>
      </c>
      <c r="D18" s="5" t="s">
        <v>58</v>
      </c>
    </row>
    <row r="19" spans="1:8" ht="19.5" customHeight="1" x14ac:dyDescent="0.25">
      <c r="A19" s="3" t="s">
        <v>59</v>
      </c>
      <c r="C19" s="7" t="str">
        <f>(C18+(-2))&amp;"-"&amp;TEXT(MOD(C18+(-1),100),"00")&amp;" (Actual)"</f>
        <v>2022-23 (Actual)</v>
      </c>
      <c r="D19" s="5" t="s">
        <v>60</v>
      </c>
    </row>
    <row r="20" spans="1:8" ht="19.5" customHeight="1" x14ac:dyDescent="0.25">
      <c r="A20" s="3" t="s">
        <v>61</v>
      </c>
      <c r="C20" s="7" t="str">
        <f>(C18+(-1))&amp;"-"&amp;TEXT(MOD(C18+(0),100),"00")&amp;" (Actual)"</f>
        <v>2023-24 (Actual)</v>
      </c>
      <c r="D20" s="5" t="s">
        <v>62</v>
      </c>
    </row>
    <row r="21" spans="1:8" ht="19.5" customHeight="1" x14ac:dyDescent="0.25">
      <c r="A21" s="3" t="s">
        <v>63</v>
      </c>
      <c r="C21" s="7" t="str">
        <f>(C18+(0))&amp;"-"&amp;TEXT(MOD(C18+(1),100),"00")&amp;" (Estimated)"</f>
        <v>2024-25 (Estimated)</v>
      </c>
      <c r="D21" s="5" t="s">
        <v>64</v>
      </c>
    </row>
    <row r="22" spans="1:8" ht="19.5" customHeight="1" x14ac:dyDescent="0.25">
      <c r="A22" s="3" t="s">
        <v>65</v>
      </c>
      <c r="C22" s="7" t="str">
        <f>(C18+(1))&amp;"-"&amp;TEXT(MOD(C18+(2),100),"00")&amp;" (Projected)"</f>
        <v>2025-26 (Projected)</v>
      </c>
      <c r="D22" s="5" t="s">
        <v>66</v>
      </c>
    </row>
    <row r="23" spans="1:8" ht="19.5" customHeight="1" x14ac:dyDescent="0.25">
      <c r="A23" s="3" t="s">
        <v>67</v>
      </c>
      <c r="C23" s="7" t="str">
        <f>(C18+(2))&amp;"-"&amp;TEXT(MOD(C18+(3),100),"00")&amp;" (Projected)"</f>
        <v>2026-27 (Projected)</v>
      </c>
      <c r="D23" s="5" t="s">
        <v>68</v>
      </c>
    </row>
    <row r="24" spans="1:8" ht="19.5" customHeight="1" x14ac:dyDescent="0.25">
      <c r="A24" s="3" t="s">
        <v>69</v>
      </c>
      <c r="C24" s="7" t="str">
        <f>(C18+(3))&amp;"-"&amp;TEXT(MOD(C18+(4),100),"00")&amp;" (Projected)"</f>
        <v>2027-28 (Projected)</v>
      </c>
      <c r="D24" s="5" t="s">
        <v>70</v>
      </c>
    </row>
    <row r="26" spans="1:8" ht="21.75" customHeight="1" x14ac:dyDescent="0.25">
      <c r="A26" s="83" t="s">
        <v>71</v>
      </c>
      <c r="B26" s="83"/>
      <c r="C26" s="83"/>
      <c r="D26" s="83"/>
      <c r="E26" s="83"/>
      <c r="F26" s="83"/>
      <c r="G26" s="83"/>
      <c r="H26" s="83"/>
    </row>
    <row r="27" spans="1:8" ht="19.5" customHeight="1" x14ac:dyDescent="0.25">
      <c r="A27" s="82" t="s">
        <v>34</v>
      </c>
      <c r="B27" s="82"/>
      <c r="C27" s="2" t="s">
        <v>35</v>
      </c>
      <c r="D27" s="2" t="s">
        <v>36</v>
      </c>
    </row>
    <row r="28" spans="1:8" ht="19.5" customHeight="1" x14ac:dyDescent="0.25">
      <c r="A28" s="3" t="s">
        <v>72</v>
      </c>
      <c r="C28" s="8">
        <v>0.25169999999999998</v>
      </c>
      <c r="D28" s="5" t="s">
        <v>73</v>
      </c>
    </row>
    <row r="29" spans="1:8" ht="19.5" customHeight="1" x14ac:dyDescent="0.25">
      <c r="A29" s="3" t="s">
        <v>74</v>
      </c>
      <c r="C29" s="9" t="s">
        <v>75</v>
      </c>
      <c r="D29" s="5" t="s">
        <v>76</v>
      </c>
    </row>
    <row r="31" spans="1:8" ht="21.75" customHeight="1" x14ac:dyDescent="0.25">
      <c r="A31" s="84" t="s">
        <v>77</v>
      </c>
      <c r="B31" s="84"/>
      <c r="C31" s="84"/>
      <c r="D31" s="84"/>
      <c r="E31" s="84"/>
      <c r="F31" s="84"/>
      <c r="G31" s="84"/>
      <c r="H31" s="84"/>
    </row>
    <row r="32" spans="1:8" ht="21.75" customHeight="1" x14ac:dyDescent="0.25">
      <c r="A32" s="82" t="s">
        <v>78</v>
      </c>
      <c r="B32" s="82"/>
      <c r="C32" s="2" t="s">
        <v>79</v>
      </c>
      <c r="D32" s="2" t="s">
        <v>80</v>
      </c>
    </row>
    <row r="33" spans="1:4" ht="21.75" customHeight="1" x14ac:dyDescent="0.25">
      <c r="A33" s="3" t="s">
        <v>81</v>
      </c>
      <c r="C33" s="6">
        <v>35</v>
      </c>
      <c r="D33" s="5" t="s">
        <v>82</v>
      </c>
    </row>
    <row r="34" spans="1:4" ht="21.75" customHeight="1" x14ac:dyDescent="0.25">
      <c r="A34" s="3" t="s">
        <v>83</v>
      </c>
      <c r="C34" s="6">
        <v>10</v>
      </c>
      <c r="D34" s="5" t="s">
        <v>84</v>
      </c>
    </row>
    <row r="35" spans="1:4" ht="21.75" customHeight="1" x14ac:dyDescent="0.25">
      <c r="A35" s="3" t="s">
        <v>85</v>
      </c>
      <c r="C35" s="6">
        <v>22</v>
      </c>
      <c r="D35" s="5" t="s">
        <v>86</v>
      </c>
    </row>
    <row r="36" spans="1:4" ht="21.75" customHeight="1" x14ac:dyDescent="0.25">
      <c r="A36" s="3" t="s">
        <v>87</v>
      </c>
      <c r="C36" s="6">
        <v>50</v>
      </c>
      <c r="D36" s="5" t="s">
        <v>88</v>
      </c>
    </row>
    <row r="37" spans="1:4" ht="21.75" customHeight="1" x14ac:dyDescent="0.25">
      <c r="A37" s="3" t="s">
        <v>89</v>
      </c>
      <c r="C37" s="6">
        <v>5</v>
      </c>
      <c r="D37" s="5" t="s">
        <v>90</v>
      </c>
    </row>
    <row r="38" spans="1:4" ht="21.75" customHeight="1" x14ac:dyDescent="0.25">
      <c r="A38" s="3" t="s">
        <v>91</v>
      </c>
      <c r="C38" s="6">
        <v>0</v>
      </c>
      <c r="D38" s="5" t="s">
        <v>92</v>
      </c>
    </row>
    <row r="39" spans="1:4" ht="21.75" customHeight="1" x14ac:dyDescent="0.25">
      <c r="A39" s="3" t="s">
        <v>93</v>
      </c>
      <c r="C39" s="6">
        <v>28</v>
      </c>
      <c r="D39" s="5" t="s">
        <v>94</v>
      </c>
    </row>
    <row r="40" spans="1:4" ht="21.75" customHeight="1" x14ac:dyDescent="0.25">
      <c r="A40" s="3" t="s">
        <v>95</v>
      </c>
      <c r="C40" s="6">
        <v>5</v>
      </c>
      <c r="D40" s="5" t="s">
        <v>96</v>
      </c>
    </row>
    <row r="41" spans="1:4" ht="21.75" customHeight="1" x14ac:dyDescent="0.25">
      <c r="A41" s="3" t="s">
        <v>97</v>
      </c>
      <c r="C41" s="6">
        <v>12</v>
      </c>
      <c r="D41" s="5" t="s">
        <v>98</v>
      </c>
    </row>
    <row r="42" spans="1:4" ht="21.75" customHeight="1" x14ac:dyDescent="0.25">
      <c r="A42" s="10" t="s">
        <v>99</v>
      </c>
      <c r="C42" s="11">
        <f>C33+C34+C35+C36+C37+C38-C39-C40-C41</f>
        <v>77</v>
      </c>
      <c r="D42" s="5" t="s">
        <v>100</v>
      </c>
    </row>
    <row r="43" spans="1:4" ht="35.25" customHeight="1" x14ac:dyDescent="0.25">
      <c r="A43" s="81" t="s">
        <v>101</v>
      </c>
      <c r="B43" s="81"/>
      <c r="C43" s="81"/>
      <c r="D43" s="81"/>
    </row>
  </sheetData>
  <mergeCells count="11">
    <mergeCell ref="A1:D1"/>
    <mergeCell ref="A2:D2"/>
    <mergeCell ref="A3:H3"/>
    <mergeCell ref="A4:B4"/>
    <mergeCell ref="A16:H16"/>
    <mergeCell ref="A43:D43"/>
    <mergeCell ref="A17:B17"/>
    <mergeCell ref="A26:H26"/>
    <mergeCell ref="A27:B27"/>
    <mergeCell ref="A31:H31"/>
    <mergeCell ref="A32:B32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4AC0D"/>
  </sheetPr>
  <dimension ref="A1:H4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XFD1048576"/>
    </sheetView>
  </sheetViews>
  <sheetFormatPr defaultColWidth="8.7109375" defaultRowHeight="15" x14ac:dyDescent="0.25"/>
  <cols>
    <col min="1" max="1" width="32" style="1" customWidth="1"/>
    <col min="2" max="2" width="19.7109375" style="1" customWidth="1"/>
    <col min="3" max="3" width="17" style="1" customWidth="1"/>
    <col min="4" max="7" width="13" style="1" customWidth="1"/>
    <col min="8" max="8" width="28" style="1" customWidth="1"/>
    <col min="9" max="16384" width="8.7109375" style="1"/>
  </cols>
  <sheetData>
    <row r="1" spans="1:8" ht="33.75" customHeight="1" x14ac:dyDescent="0.25">
      <c r="A1" s="91" t="s">
        <v>102</v>
      </c>
      <c r="B1" s="91"/>
      <c r="C1" s="91"/>
      <c r="D1" s="91"/>
      <c r="E1" s="91"/>
      <c r="F1" s="91"/>
      <c r="G1" s="91"/>
      <c r="H1" s="91"/>
    </row>
    <row r="2" spans="1:8" ht="21.75" customHeight="1" x14ac:dyDescent="0.25">
      <c r="A2" s="92" t="str">
        <f>IFERROR("Company: "&amp;'⚙ SETUP'!C5&amp;"   |   Bank: "&amp;'⚙ SETUP'!C10&amp;"   |   Facility: "&amp;'⚙ SETUP'!C11,"Fill Setup sheet")</f>
        <v>Company: Pinnacle Agro Industries Pvt Ltd   |   Bank: State Bank of India, Commercial Branch, Rohini, Delhi   |   Facility: Cash Credit (CC) + Term Loan</v>
      </c>
      <c r="B2" s="92"/>
      <c r="C2" s="92"/>
      <c r="D2" s="92"/>
      <c r="E2" s="92"/>
      <c r="F2" s="92"/>
      <c r="G2" s="92"/>
      <c r="H2" s="92"/>
    </row>
    <row r="3" spans="1:8" ht="27.75" customHeight="1" x14ac:dyDescent="0.25">
      <c r="A3" s="10" t="s">
        <v>103</v>
      </c>
      <c r="B3" s="12" t="str">
        <f>'⚙ SETUP'!C19</f>
        <v>2022-23 (Actual)</v>
      </c>
      <c r="C3" s="12" t="str">
        <f>'⚙ SETUP'!C20</f>
        <v>2023-24 (Actual)</v>
      </c>
      <c r="D3" s="13" t="str">
        <f>'⚙ SETUP'!C21</f>
        <v>2024-25 (Estimated)</v>
      </c>
      <c r="E3" s="14" t="str">
        <f>'⚙ SETUP'!C22</f>
        <v>2025-26 (Projected)</v>
      </c>
      <c r="F3" s="14" t="str">
        <f>'⚙ SETUP'!C23</f>
        <v>2026-27 (Projected)</v>
      </c>
      <c r="G3" s="14" t="str">
        <f>'⚙ SETUP'!C24</f>
        <v>2027-28 (Projected)</v>
      </c>
      <c r="H3" s="15" t="s">
        <v>104</v>
      </c>
    </row>
    <row r="4" spans="1:8" ht="21.75" customHeight="1" x14ac:dyDescent="0.25">
      <c r="A4" s="83" t="s">
        <v>105</v>
      </c>
      <c r="B4" s="83"/>
      <c r="C4" s="83"/>
      <c r="D4" s="83"/>
      <c r="E4" s="83"/>
      <c r="F4" s="83"/>
      <c r="G4" s="83"/>
      <c r="H4" s="83"/>
    </row>
    <row r="5" spans="1:8" ht="19.5" customHeight="1" x14ac:dyDescent="0.25">
      <c r="A5" s="16" t="s">
        <v>106</v>
      </c>
      <c r="B5" s="17">
        <f>'📋 FORM II — P&amp;L'!B7</f>
        <v>800</v>
      </c>
      <c r="C5" s="17">
        <f>'📋 FORM II — P&amp;L'!C7</f>
        <v>960</v>
      </c>
      <c r="D5" s="17">
        <f>'📋 FORM II — P&amp;L'!D7</f>
        <v>1125</v>
      </c>
      <c r="E5" s="17">
        <f>'📋 FORM II — P&amp;L'!E7</f>
        <v>1290</v>
      </c>
      <c r="F5" s="17">
        <f>'📋 FORM II — P&amp;L'!F7</f>
        <v>1480</v>
      </c>
      <c r="G5" s="17">
        <f>'📋 FORM II — P&amp;L'!G7</f>
        <v>1700</v>
      </c>
      <c r="H5" s="5"/>
    </row>
    <row r="6" spans="1:8" ht="19.5" customHeight="1" x14ac:dyDescent="0.25">
      <c r="A6" s="3" t="s">
        <v>107</v>
      </c>
      <c r="B6" s="18">
        <f>'📋 FORM II — P&amp;L'!B28</f>
        <v>131</v>
      </c>
      <c r="C6" s="18">
        <f>'📋 FORM II — P&amp;L'!C28</f>
        <v>160</v>
      </c>
      <c r="D6" s="18">
        <f>'📋 FORM II — P&amp;L'!D28</f>
        <v>185</v>
      </c>
      <c r="E6" s="18">
        <f>'📋 FORM II — P&amp;L'!E28</f>
        <v>208</v>
      </c>
      <c r="F6" s="18">
        <f>'📋 FORM II — P&amp;L'!F28</f>
        <v>236</v>
      </c>
      <c r="G6" s="18">
        <f>'📋 FORM II — P&amp;L'!G28</f>
        <v>273</v>
      </c>
      <c r="H6" s="5" t="s">
        <v>108</v>
      </c>
    </row>
    <row r="7" spans="1:8" ht="19.5" customHeight="1" x14ac:dyDescent="0.25">
      <c r="A7" s="3" t="s">
        <v>109</v>
      </c>
      <c r="B7" s="19">
        <f>'📋 FORM II — P&amp;L'!B30</f>
        <v>0.16375000000000001</v>
      </c>
      <c r="C7" s="19">
        <f>'📋 FORM II — P&amp;L'!C30</f>
        <v>0.16666666666666666</v>
      </c>
      <c r="D7" s="19">
        <f>'📋 FORM II — P&amp;L'!D30</f>
        <v>0.16444444444444445</v>
      </c>
      <c r="E7" s="19">
        <f>'📋 FORM II — P&amp;L'!E30</f>
        <v>0.16124031007751938</v>
      </c>
      <c r="F7" s="19">
        <f>'📋 FORM II — P&amp;L'!F30</f>
        <v>0.15945945945945947</v>
      </c>
      <c r="G7" s="19">
        <f>'📋 FORM II — P&amp;L'!G30</f>
        <v>0.16058823529411764</v>
      </c>
      <c r="H7" s="5" t="s">
        <v>110</v>
      </c>
    </row>
    <row r="8" spans="1:8" ht="19.5" customHeight="1" x14ac:dyDescent="0.25">
      <c r="A8" s="3" t="s">
        <v>111</v>
      </c>
      <c r="B8" s="18">
        <f>'📋 FORM II — P&amp;L'!B46</f>
        <v>48</v>
      </c>
      <c r="C8" s="18">
        <f>'📋 FORM II — P&amp;L'!C46</f>
        <v>61</v>
      </c>
      <c r="D8" s="18">
        <f>'📋 FORM II — P&amp;L'!D46</f>
        <v>72</v>
      </c>
      <c r="E8" s="18">
        <f>'📋 FORM II — P&amp;L'!E46</f>
        <v>84</v>
      </c>
      <c r="F8" s="18">
        <f>'📋 FORM II — P&amp;L'!F46</f>
        <v>101</v>
      </c>
      <c r="G8" s="18">
        <f>'📋 FORM II — P&amp;L'!G46</f>
        <v>128</v>
      </c>
      <c r="H8" s="5"/>
    </row>
    <row r="9" spans="1:8" ht="19.5" customHeight="1" x14ac:dyDescent="0.25">
      <c r="A9" s="3" t="s">
        <v>112</v>
      </c>
      <c r="B9" s="20">
        <f>'📋 FORM II — P&amp;L'!B49</f>
        <v>76</v>
      </c>
      <c r="C9" s="20">
        <f>'📋 FORM II — P&amp;L'!C49</f>
        <v>93</v>
      </c>
      <c r="D9" s="20">
        <f>'📋 FORM II — P&amp;L'!D49</f>
        <v>110</v>
      </c>
      <c r="E9" s="20">
        <f>'📋 FORM II — P&amp;L'!E49</f>
        <v>129</v>
      </c>
      <c r="F9" s="20">
        <f>'📋 FORM II — P&amp;L'!F49</f>
        <v>153</v>
      </c>
      <c r="G9" s="20">
        <f>'📋 FORM II — P&amp;L'!G49</f>
        <v>186</v>
      </c>
      <c r="H9" s="5" t="s">
        <v>113</v>
      </c>
    </row>
    <row r="11" spans="1:8" ht="21.75" customHeight="1" x14ac:dyDescent="0.25">
      <c r="A11" s="84" t="s">
        <v>114</v>
      </c>
      <c r="B11" s="84"/>
      <c r="C11" s="84"/>
      <c r="D11" s="84"/>
      <c r="E11" s="84"/>
      <c r="F11" s="84"/>
      <c r="G11" s="84"/>
      <c r="H11" s="84"/>
    </row>
    <row r="12" spans="1:8" ht="19.5" customHeight="1" x14ac:dyDescent="0.25">
      <c r="A12" s="3" t="s">
        <v>115</v>
      </c>
      <c r="B12" s="18">
        <f>'🏦 FORM IV-V — MPBF'!B5</f>
        <v>287</v>
      </c>
      <c r="C12" s="18">
        <f>'🏦 FORM IV-V — MPBF'!C5</f>
        <v>345</v>
      </c>
      <c r="D12" s="18">
        <f>'🏦 FORM IV-V — MPBF'!D5</f>
        <v>438</v>
      </c>
      <c r="E12" s="18">
        <f>'🏦 FORM IV-V — MPBF'!E5</f>
        <v>488</v>
      </c>
      <c r="F12" s="18">
        <f>'🏦 FORM IV-V — MPBF'!F5</f>
        <v>546</v>
      </c>
      <c r="G12" s="18">
        <f>'🏦 FORM IV-V — MPBF'!G5</f>
        <v>623</v>
      </c>
      <c r="H12" s="5" t="s">
        <v>116</v>
      </c>
    </row>
    <row r="13" spans="1:8" ht="19.5" customHeight="1" x14ac:dyDescent="0.25">
      <c r="A13" s="3" t="s">
        <v>117</v>
      </c>
      <c r="B13" s="18">
        <f>'🏦 FORM IV-V — MPBF'!B6</f>
        <v>88</v>
      </c>
      <c r="C13" s="18">
        <f>'🏦 FORM IV-V — MPBF'!C6</f>
        <v>108</v>
      </c>
      <c r="D13" s="18">
        <f>'🏦 FORM IV-V — MPBF'!D6</f>
        <v>127</v>
      </c>
      <c r="E13" s="18">
        <f>'🏦 FORM IV-V — MPBF'!E6</f>
        <v>149</v>
      </c>
      <c r="F13" s="18">
        <f>'🏦 FORM IV-V — MPBF'!F6</f>
        <v>174</v>
      </c>
      <c r="G13" s="18">
        <f>'🏦 FORM IV-V — MPBF'!G6</f>
        <v>200</v>
      </c>
      <c r="H13" s="5" t="s">
        <v>118</v>
      </c>
    </row>
    <row r="14" spans="1:8" ht="19.5" customHeight="1" x14ac:dyDescent="0.25">
      <c r="A14" s="3" t="s">
        <v>119</v>
      </c>
      <c r="B14" s="18">
        <f>'🏦 FORM IV-V — MPBF'!B7</f>
        <v>199</v>
      </c>
      <c r="C14" s="18">
        <f>'🏦 FORM IV-V — MPBF'!C7</f>
        <v>237</v>
      </c>
      <c r="D14" s="18">
        <f>'🏦 FORM IV-V — MPBF'!D7</f>
        <v>311</v>
      </c>
      <c r="E14" s="18">
        <f>'🏦 FORM IV-V — MPBF'!E7</f>
        <v>339</v>
      </c>
      <c r="F14" s="18">
        <f>'🏦 FORM IV-V — MPBF'!F7</f>
        <v>372</v>
      </c>
      <c r="G14" s="18">
        <f>'🏦 FORM IV-V — MPBF'!G7</f>
        <v>423</v>
      </c>
      <c r="H14" s="5" t="s">
        <v>120</v>
      </c>
    </row>
    <row r="15" spans="1:8" ht="19.5" customHeight="1" x14ac:dyDescent="0.25">
      <c r="A15" s="3" t="s">
        <v>121</v>
      </c>
      <c r="B15" s="18">
        <f>'🏦 FORM IV-V — MPBF'!B11</f>
        <v>149.25</v>
      </c>
      <c r="C15" s="18">
        <f>'🏦 FORM IV-V — MPBF'!C11</f>
        <v>177.75</v>
      </c>
      <c r="D15" s="18">
        <f>'🏦 FORM IV-V — MPBF'!D11</f>
        <v>233.25</v>
      </c>
      <c r="E15" s="18">
        <f>'🏦 FORM IV-V — MPBF'!E11</f>
        <v>254.25</v>
      </c>
      <c r="F15" s="18">
        <f>'🏦 FORM IV-V — MPBF'!F11</f>
        <v>279</v>
      </c>
      <c r="G15" s="18">
        <f>'🏦 FORM IV-V — MPBF'!G11</f>
        <v>317.25</v>
      </c>
      <c r="H15" s="5" t="s">
        <v>122</v>
      </c>
    </row>
    <row r="16" spans="1:8" ht="24" customHeight="1" x14ac:dyDescent="0.25">
      <c r="A16" s="21" t="s">
        <v>123</v>
      </c>
      <c r="B16" s="22">
        <f>'🏦 FORM IV-V — MPBF'!B19</f>
        <v>127.25</v>
      </c>
      <c r="C16" s="22">
        <f>'🏦 FORM IV-V — MPBF'!C19</f>
        <v>150.75</v>
      </c>
      <c r="D16" s="22">
        <f>'🏦 FORM IV-V — MPBF'!D19</f>
        <v>201.5</v>
      </c>
      <c r="E16" s="22">
        <f>'🏦 FORM IV-V — MPBF'!E19</f>
        <v>217</v>
      </c>
      <c r="F16" s="22">
        <f>'🏦 FORM IV-V — MPBF'!F19</f>
        <v>235.5</v>
      </c>
      <c r="G16" s="22">
        <f>'🏦 FORM IV-V — MPBF'!G19</f>
        <v>267.25</v>
      </c>
      <c r="H16" s="23" t="s">
        <v>124</v>
      </c>
    </row>
    <row r="17" spans="1:8" ht="19.5" customHeight="1" x14ac:dyDescent="0.25">
      <c r="A17" s="24" t="s">
        <v>125</v>
      </c>
      <c r="B17" s="20">
        <f>'🏦 FORM IV-V — MPBF'!B24</f>
        <v>160</v>
      </c>
      <c r="C17" s="20">
        <f>'🏦 FORM IV-V — MPBF'!C24</f>
        <v>185</v>
      </c>
      <c r="D17" s="20">
        <f>'🏦 FORM IV-V — MPBF'!D24</f>
        <v>205</v>
      </c>
      <c r="E17" s="20">
        <f>'🏦 FORM IV-V — MPBF'!E24</f>
        <v>225</v>
      </c>
      <c r="F17" s="20">
        <f>'🏦 FORM IV-V — MPBF'!F24</f>
        <v>245</v>
      </c>
      <c r="G17" s="20">
        <f>'🏦 FORM IV-V — MPBF'!G24</f>
        <v>260</v>
      </c>
      <c r="H17" s="5" t="s">
        <v>126</v>
      </c>
    </row>
    <row r="18" spans="1:8" ht="21.75" customHeight="1" x14ac:dyDescent="0.25">
      <c r="A18" s="10" t="s">
        <v>127</v>
      </c>
      <c r="B18" s="15" t="str">
        <f>IF('🏦 FORM IV-V — MPBF'!B24&lt;='🏦 FORM IV-V — MPBF'!B19,"✅ Within MPBF","⚠ Exceeds by "&amp;TEXT('🏦 FORM IV-V — MPBF'!B24-'🏦 FORM IV-V — MPBF'!B19,"#,##0"))</f>
        <v>⚠ Exceeds by 33</v>
      </c>
      <c r="C18" s="15" t="str">
        <f>IF('🏦 FORM IV-V — MPBF'!C24&lt;='🏦 FORM IV-V — MPBF'!C19,"✅ Within MPBF","⚠ Exceeds by "&amp;TEXT('🏦 FORM IV-V — MPBF'!C24-'🏦 FORM IV-V — MPBF'!C19,"#,##0"))</f>
        <v>⚠ Exceeds by 34</v>
      </c>
      <c r="D18" s="15" t="str">
        <f>IF('🏦 FORM IV-V — MPBF'!D24&lt;='🏦 FORM IV-V — MPBF'!D19,"✅ Within MPBF","⚠ Exceeds by "&amp;TEXT('🏦 FORM IV-V — MPBF'!D24-'🏦 FORM IV-V — MPBF'!D19,"#,##0"))</f>
        <v>⚠ Exceeds by 4</v>
      </c>
      <c r="E18" s="15" t="str">
        <f>IF('🏦 FORM IV-V — MPBF'!E24&lt;='🏦 FORM IV-V — MPBF'!E19,"✅ Within MPBF","⚠ Exceeds by "&amp;TEXT('🏦 FORM IV-V — MPBF'!E24-'🏦 FORM IV-V — MPBF'!E19,"#,##0"))</f>
        <v>⚠ Exceeds by 8</v>
      </c>
      <c r="F18" s="15" t="str">
        <f>IF('🏦 FORM IV-V — MPBF'!F24&lt;='🏦 FORM IV-V — MPBF'!F19,"✅ Within MPBF","⚠ Exceeds by "&amp;TEXT('🏦 FORM IV-V — MPBF'!F24-'🏦 FORM IV-V — MPBF'!F19,"#,##0"))</f>
        <v>⚠ Exceeds by 10</v>
      </c>
      <c r="G18" s="15" t="str">
        <f>IF('🏦 FORM IV-V — MPBF'!G24&lt;='🏦 FORM IV-V — MPBF'!G19,"✅ Within MPBF","⚠ Exceeds by "&amp;TEXT('🏦 FORM IV-V — MPBF'!G24-'🏦 FORM IV-V — MPBF'!G19,"#,##0"))</f>
        <v>✅ Within MPBF</v>
      </c>
      <c r="H18" s="5" t="s">
        <v>128</v>
      </c>
    </row>
    <row r="20" spans="1:8" ht="21.75" customHeight="1" x14ac:dyDescent="0.25">
      <c r="A20" s="92" t="s">
        <v>129</v>
      </c>
      <c r="B20" s="92"/>
      <c r="C20" s="92"/>
      <c r="D20" s="92"/>
      <c r="E20" s="92"/>
      <c r="F20" s="92"/>
      <c r="G20" s="92"/>
      <c r="H20" s="92"/>
    </row>
    <row r="21" spans="1:8" ht="21.75" customHeight="1" x14ac:dyDescent="0.25">
      <c r="A21" s="10" t="s">
        <v>130</v>
      </c>
      <c r="B21" s="25" t="str">
        <f>'⚙ SETUP'!C19</f>
        <v>2022-23 (Actual)</v>
      </c>
      <c r="C21" s="25" t="str">
        <f>'⚙ SETUP'!C20</f>
        <v>2023-24 (Actual)</v>
      </c>
      <c r="D21" s="25" t="str">
        <f>'⚙ SETUP'!C21</f>
        <v>2024-25 (Estimated)</v>
      </c>
      <c r="E21" s="25" t="str">
        <f>'⚙ SETUP'!C22</f>
        <v>2025-26 (Projected)</v>
      </c>
      <c r="F21" s="25" t="str">
        <f>'⚙ SETUP'!C23</f>
        <v>2026-27 (Projected)</v>
      </c>
      <c r="G21" s="25" t="str">
        <f>'⚙ SETUP'!C24</f>
        <v>2027-28 (Projected)</v>
      </c>
      <c r="H21" s="15" t="s">
        <v>131</v>
      </c>
    </row>
    <row r="22" spans="1:8" ht="19.5" customHeight="1" x14ac:dyDescent="0.25">
      <c r="A22" s="3" t="s">
        <v>132</v>
      </c>
      <c r="B22" s="26">
        <f>'📈 FORM VII — RATIOS'!B5</f>
        <v>1.0323741007194245</v>
      </c>
      <c r="C22" s="26">
        <f>'📈 FORM VII — RATIOS'!C5</f>
        <v>1.0360360360360361</v>
      </c>
      <c r="D22" s="26">
        <f>'📈 FORM VII — RATIOS'!D5</f>
        <v>1.1618037135278514</v>
      </c>
      <c r="E22" s="26">
        <f>'📈 FORM VII — RATIOS'!E5</f>
        <v>1.1509433962264151</v>
      </c>
      <c r="F22" s="26">
        <f>'📈 FORM VII — RATIOS'!F5</f>
        <v>1.164179104477612</v>
      </c>
      <c r="G22" s="26">
        <f>'📈 FORM VII — RATIOS'!G5</f>
        <v>1.2215686274509805</v>
      </c>
      <c r="H22" s="5" t="s">
        <v>133</v>
      </c>
    </row>
    <row r="23" spans="1:8" ht="19.5" customHeight="1" x14ac:dyDescent="0.25">
      <c r="A23" s="3" t="s">
        <v>134</v>
      </c>
      <c r="B23" s="26">
        <f>'📈 FORM VII — RATIOS'!B9</f>
        <v>2.3351955307262569</v>
      </c>
      <c r="C23" s="26">
        <f>'📈 FORM VII — RATIOS'!C9</f>
        <v>2.4069264069264071</v>
      </c>
      <c r="D23" s="26">
        <f>'📈 FORM VII — RATIOS'!D9</f>
        <v>1.665680473372781</v>
      </c>
      <c r="E23" s="26">
        <f>'📈 FORM VII — RATIOS'!E9</f>
        <v>1.4253731343283582</v>
      </c>
      <c r="F23" s="26">
        <f>'📈 FORM VII — RATIOS'!F9</f>
        <v>1.2025052192066805</v>
      </c>
      <c r="G23" s="26">
        <f>'📈 FORM VII — RATIOS'!G9</f>
        <v>0.98615916955017302</v>
      </c>
      <c r="H23" s="5" t="s">
        <v>135</v>
      </c>
    </row>
    <row r="24" spans="1:8" ht="19.5" customHeight="1" x14ac:dyDescent="0.25">
      <c r="A24" s="3" t="s">
        <v>136</v>
      </c>
      <c r="B24" s="26">
        <f>'📈 FORM VII — RATIOS'!B8</f>
        <v>1.7877094972067038</v>
      </c>
      <c r="C24" s="26">
        <f>'📈 FORM VII — RATIOS'!C8</f>
        <v>1.8831168831168832</v>
      </c>
      <c r="D24" s="26">
        <f>'📈 FORM VII — RATIOS'!D8</f>
        <v>1.2426035502958579</v>
      </c>
      <c r="E24" s="26">
        <f>'📈 FORM VII — RATIOS'!E8</f>
        <v>1.0074626865671641</v>
      </c>
      <c r="F24" s="26">
        <f>'📈 FORM VII — RATIOS'!F8</f>
        <v>0.79331941544885176</v>
      </c>
      <c r="G24" s="26">
        <f>'📈 FORM VII — RATIOS'!G8</f>
        <v>0.59688581314878897</v>
      </c>
      <c r="H24" s="5" t="s">
        <v>137</v>
      </c>
    </row>
    <row r="25" spans="1:8" ht="19.5" customHeight="1" x14ac:dyDescent="0.25">
      <c r="A25" s="3" t="s">
        <v>138</v>
      </c>
      <c r="B25" s="26">
        <f>'📈 FORM VII — RATIOS'!B15</f>
        <v>1.4615384615384615</v>
      </c>
      <c r="C25" s="26">
        <f>'📈 FORM VII — RATIOS'!C15</f>
        <v>1.4090909090909092</v>
      </c>
      <c r="D25" s="26">
        <f>'📈 FORM VII — RATIOS'!D15</f>
        <v>1.5068493150684932</v>
      </c>
      <c r="E25" s="26">
        <f>'📈 FORM VII — RATIOS'!E15</f>
        <v>1.6973684210526316</v>
      </c>
      <c r="F25" s="26">
        <f>'📈 FORM VII — RATIOS'!F15</f>
        <v>2.125</v>
      </c>
      <c r="G25" s="26">
        <f>'📈 FORM VII — RATIOS'!G15</f>
        <v>2.8615384615384616</v>
      </c>
      <c r="H25" s="5" t="s">
        <v>139</v>
      </c>
    </row>
    <row r="26" spans="1:8" ht="19.5" customHeight="1" x14ac:dyDescent="0.25">
      <c r="A26" s="3" t="s">
        <v>140</v>
      </c>
      <c r="B26" s="26">
        <f>'📈 FORM VII — RATIOS'!B14</f>
        <v>3.1951219512195124</v>
      </c>
      <c r="C26" s="26">
        <f>'📈 FORM VII — RATIOS'!C14</f>
        <v>3.2653061224489797</v>
      </c>
      <c r="D26" s="26">
        <f>'📈 FORM VII — RATIOS'!D14</f>
        <v>3.3636363636363638</v>
      </c>
      <c r="E26" s="26">
        <f>'📈 FORM VII — RATIOS'!E14</f>
        <v>3.7142857142857144</v>
      </c>
      <c r="F26" s="26">
        <f>'📈 FORM VII — RATIOS'!F14</f>
        <v>4.290909090909091</v>
      </c>
      <c r="G26" s="26">
        <f>'📈 FORM VII — RATIOS'!G14</f>
        <v>5.3529411764705879</v>
      </c>
      <c r="H26" s="5" t="s">
        <v>141</v>
      </c>
    </row>
    <row r="27" spans="1:8" ht="19.5" customHeight="1" x14ac:dyDescent="0.25">
      <c r="A27" s="3" t="s">
        <v>109</v>
      </c>
      <c r="B27" s="19">
        <f>'📈 FORM VII — RATIOS'!B11</f>
        <v>0.16375000000000001</v>
      </c>
      <c r="C27" s="19">
        <f>'📈 FORM VII — RATIOS'!C11</f>
        <v>0.16666666666666666</v>
      </c>
      <c r="D27" s="19">
        <f>'📈 FORM VII — RATIOS'!D11</f>
        <v>0.16444444444444445</v>
      </c>
      <c r="E27" s="19">
        <f>'📈 FORM VII — RATIOS'!E11</f>
        <v>0.16124031007751938</v>
      </c>
      <c r="F27" s="19">
        <f>'📈 FORM VII — RATIOS'!F11</f>
        <v>0.15945945945945947</v>
      </c>
      <c r="G27" s="19">
        <f>'📈 FORM VII — RATIOS'!G11</f>
        <v>0.16058823529411764</v>
      </c>
      <c r="H27" s="5" t="s">
        <v>142</v>
      </c>
    </row>
    <row r="28" spans="1:8" ht="19.5" customHeight="1" x14ac:dyDescent="0.25">
      <c r="A28" s="3" t="s">
        <v>143</v>
      </c>
      <c r="B28" s="27">
        <f>'📈 FORM VII — RATIOS'!B19</f>
        <v>49.275000000000006</v>
      </c>
      <c r="C28" s="27">
        <f>'📈 FORM VII — RATIOS'!C19</f>
        <v>49.046875</v>
      </c>
      <c r="D28" s="27">
        <f>'📈 FORM VII — RATIOS'!D19</f>
        <v>49.315555555555548</v>
      </c>
      <c r="E28" s="27">
        <f>'📈 FORM VII — RATIOS'!E19</f>
        <v>49.232558139534888</v>
      </c>
      <c r="F28" s="27">
        <f>'📈 FORM VII — RATIOS'!F19</f>
        <v>49.817567567567565</v>
      </c>
      <c r="G28" s="27">
        <f>'📈 FORM VII — RATIOS'!G19</f>
        <v>49.811764705882354</v>
      </c>
      <c r="H28" s="5" t="s">
        <v>144</v>
      </c>
    </row>
    <row r="30" spans="1:8" ht="21.75" customHeight="1" x14ac:dyDescent="0.25">
      <c r="A30" s="83" t="s">
        <v>145</v>
      </c>
      <c r="B30" s="83"/>
      <c r="C30" s="83"/>
      <c r="D30" s="83"/>
      <c r="E30" s="83"/>
      <c r="F30" s="83"/>
      <c r="G30" s="83"/>
      <c r="H30" s="83"/>
    </row>
    <row r="31" spans="1:8" ht="19.5" customHeight="1" x14ac:dyDescent="0.25">
      <c r="A31" s="3" t="s">
        <v>146</v>
      </c>
      <c r="B31" s="18">
        <f>'📊 FORM I — BALANCE SHEET'!B35</f>
        <v>179</v>
      </c>
      <c r="C31" s="18">
        <f>'📊 FORM I — BALANCE SHEET'!C35</f>
        <v>231</v>
      </c>
      <c r="D31" s="18">
        <f>'📊 FORM I — BALANCE SHEET'!D35</f>
        <v>338</v>
      </c>
      <c r="E31" s="18">
        <f>'📊 FORM I — BALANCE SHEET'!E35</f>
        <v>402</v>
      </c>
      <c r="F31" s="18">
        <f>'📊 FORM I — BALANCE SHEET'!F35</f>
        <v>479</v>
      </c>
      <c r="G31" s="18">
        <f>'📊 FORM I — BALANCE SHEET'!G35</f>
        <v>578</v>
      </c>
      <c r="H31" s="5" t="s">
        <v>147</v>
      </c>
    </row>
    <row r="32" spans="1:8" ht="19.5" customHeight="1" x14ac:dyDescent="0.25">
      <c r="A32" s="3" t="s">
        <v>148</v>
      </c>
      <c r="B32" s="18">
        <f>'📊 FORM I — BALANCE SHEET'!B42</f>
        <v>140</v>
      </c>
      <c r="C32" s="18">
        <f>'📊 FORM I — BALANCE SHEET'!C42</f>
        <v>223</v>
      </c>
      <c r="D32" s="18">
        <f>'📊 FORM I — BALANCE SHEET'!D42</f>
        <v>186</v>
      </c>
      <c r="E32" s="18">
        <f>'📊 FORM I — BALANCE SHEET'!E42</f>
        <v>149</v>
      </c>
      <c r="F32" s="18">
        <f>'📊 FORM I — BALANCE SHEET'!F42</f>
        <v>107</v>
      </c>
      <c r="G32" s="18">
        <f>'📊 FORM I — BALANCE SHEET'!G42</f>
        <v>60</v>
      </c>
      <c r="H32" s="5" t="s">
        <v>149</v>
      </c>
    </row>
    <row r="33" spans="1:8" ht="19.5" customHeight="1" x14ac:dyDescent="0.25">
      <c r="A33" s="3" t="s">
        <v>150</v>
      </c>
      <c r="B33" s="18">
        <f>'📊 FORM I — BALANCE SHEET'!B51</f>
        <v>278</v>
      </c>
      <c r="C33" s="18">
        <f>'📊 FORM I — BALANCE SHEET'!C51</f>
        <v>333</v>
      </c>
      <c r="D33" s="18">
        <f>'📊 FORM I — BALANCE SHEET'!D51</f>
        <v>377</v>
      </c>
      <c r="E33" s="18">
        <f>'📊 FORM I — BALANCE SHEET'!E51</f>
        <v>424</v>
      </c>
      <c r="F33" s="18">
        <f>'📊 FORM I — BALANCE SHEET'!F51</f>
        <v>469</v>
      </c>
      <c r="G33" s="18">
        <f>'📊 FORM I — BALANCE SHEET'!G51</f>
        <v>510</v>
      </c>
      <c r="H33" s="5" t="s">
        <v>151</v>
      </c>
    </row>
    <row r="34" spans="1:8" ht="19.5" customHeight="1" x14ac:dyDescent="0.25">
      <c r="A34" s="3" t="s">
        <v>152</v>
      </c>
      <c r="B34" s="18">
        <f>'📊 FORM I — BALANCE SHEET'!B8</f>
        <v>298</v>
      </c>
      <c r="C34" s="18">
        <f>'📊 FORM I — BALANCE SHEET'!C8</f>
        <v>366</v>
      </c>
      <c r="D34" s="18">
        <f>'📊 FORM I — BALANCE SHEET'!D8</f>
        <v>428</v>
      </c>
      <c r="E34" s="18">
        <f>'📊 FORM I — BALANCE SHEET'!E8</f>
        <v>463</v>
      </c>
      <c r="F34" s="18">
        <f>'📊 FORM I — BALANCE SHEET'!F8</f>
        <v>481</v>
      </c>
      <c r="G34" s="18">
        <f>'📊 FORM I — BALANCE SHEET'!G8</f>
        <v>493</v>
      </c>
      <c r="H34" s="5" t="s">
        <v>153</v>
      </c>
    </row>
    <row r="35" spans="1:8" ht="19.5" customHeight="1" x14ac:dyDescent="0.25">
      <c r="A35" s="3" t="s">
        <v>154</v>
      </c>
      <c r="B35" s="18">
        <f>'📊 FORM I — BALANCE SHEET'!B26</f>
        <v>287</v>
      </c>
      <c r="C35" s="18">
        <f>'📊 FORM I — BALANCE SHEET'!C26</f>
        <v>345</v>
      </c>
      <c r="D35" s="18">
        <f>'📊 FORM I — BALANCE SHEET'!D26</f>
        <v>438</v>
      </c>
      <c r="E35" s="18">
        <f>'📊 FORM I — BALANCE SHEET'!E26</f>
        <v>488</v>
      </c>
      <c r="F35" s="18">
        <f>'📊 FORM I — BALANCE SHEET'!F26</f>
        <v>546</v>
      </c>
      <c r="G35" s="18">
        <f>'📊 FORM I — BALANCE SHEET'!G26</f>
        <v>623</v>
      </c>
      <c r="H35" s="5" t="s">
        <v>155</v>
      </c>
    </row>
    <row r="36" spans="1:8" ht="19.5" customHeight="1" x14ac:dyDescent="0.25">
      <c r="A36" s="3" t="s">
        <v>156</v>
      </c>
      <c r="B36" s="18">
        <f>'📊 FORM I — BALANCE SHEET'!B57</f>
        <v>9</v>
      </c>
      <c r="C36" s="18">
        <f>'📊 FORM I — BALANCE SHEET'!C57</f>
        <v>12</v>
      </c>
      <c r="D36" s="18">
        <f>'📊 FORM I — BALANCE SHEET'!D57</f>
        <v>61</v>
      </c>
      <c r="E36" s="18">
        <f>'📊 FORM I — BALANCE SHEET'!E57</f>
        <v>64</v>
      </c>
      <c r="F36" s="18">
        <f>'📊 FORM I — BALANCE SHEET'!F57</f>
        <v>77</v>
      </c>
      <c r="G36" s="18">
        <f>'📊 FORM I — BALANCE SHEET'!G57</f>
        <v>113</v>
      </c>
      <c r="H36" s="5" t="s">
        <v>126</v>
      </c>
    </row>
    <row r="38" spans="1:8" ht="21.75" customHeight="1" x14ac:dyDescent="0.25">
      <c r="A38" s="87" t="s">
        <v>157</v>
      </c>
      <c r="B38" s="87"/>
      <c r="C38" s="87"/>
      <c r="D38" s="87"/>
      <c r="E38" s="87"/>
      <c r="F38" s="87"/>
      <c r="G38" s="87"/>
      <c r="H38" s="87"/>
    </row>
    <row r="39" spans="1:8" ht="30" customHeight="1" x14ac:dyDescent="0.25">
      <c r="A39" s="88" t="s">
        <v>158</v>
      </c>
      <c r="B39" s="88"/>
      <c r="C39" s="88"/>
      <c r="D39" s="88"/>
      <c r="E39" s="88"/>
      <c r="F39" s="88"/>
      <c r="G39" s="88"/>
      <c r="H39" s="88"/>
    </row>
    <row r="41" spans="1:8" ht="72.75" customHeight="1" x14ac:dyDescent="0.25">
      <c r="A41" s="89" t="s">
        <v>159</v>
      </c>
      <c r="B41" s="89"/>
      <c r="C41" s="3" t="str">
        <f>'⚙ SETUP'!C13</f>
        <v>M/s. Roy &amp; Associates, Chartered Accountants, Membership No. 123456</v>
      </c>
      <c r="D41" s="90" t="s">
        <v>160</v>
      </c>
      <c r="E41" s="90"/>
      <c r="F41" s="3" t="str">
        <f>'⚙ SETUP'!C14</f>
        <v>30-Sep-2025</v>
      </c>
    </row>
    <row r="43" spans="1:8" ht="19.5" customHeight="1" x14ac:dyDescent="0.25">
      <c r="A43" s="81" t="s">
        <v>161</v>
      </c>
      <c r="B43" s="81"/>
      <c r="C43" s="81"/>
      <c r="D43" s="81"/>
      <c r="E43" s="81"/>
      <c r="F43" s="81"/>
      <c r="G43" s="81"/>
      <c r="H43" s="81"/>
    </row>
  </sheetData>
  <sheetProtection algorithmName="SHA-512" hashValue="Og3CynkB+KLTheVVoLyIM+SoJ53gHvRwuQSvnhoCltJLQTwNNrbC4z9DyhqvSOyeIAQ1OiPnDAJbDzJR8FNKlA==" saltValue="M0JkWldJppHc/z5gXpMDEg==" spinCount="100000" sheet="1" objects="1" scenarios="1"/>
  <mergeCells count="11">
    <mergeCell ref="A1:H1"/>
    <mergeCell ref="A2:H2"/>
    <mergeCell ref="A4:H4"/>
    <mergeCell ref="A11:H11"/>
    <mergeCell ref="A20:H20"/>
    <mergeCell ref="A43:H43"/>
    <mergeCell ref="A30:H30"/>
    <mergeCell ref="A38:H38"/>
    <mergeCell ref="A39:H39"/>
    <mergeCell ref="A41:B41"/>
    <mergeCell ref="D41:E41"/>
  </mergeCells>
  <pageMargins left="0.5" right="0.5" top="0.75" bottom="0.75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B4F72"/>
  </sheetPr>
  <dimension ref="A1:H63"/>
  <sheetViews>
    <sheetView zoomScaleNormal="100" workbookViewId="0">
      <pane xSplit="1" ySplit="3" topLeftCell="B31" activePane="bottomRight" state="frozen"/>
      <selection pane="topRight" activeCell="B1" sqref="B1"/>
      <selection pane="bottomLeft" activeCell="A4" sqref="A4"/>
      <selection pane="bottomRight" sqref="A1:XFD1048576"/>
    </sheetView>
  </sheetViews>
  <sheetFormatPr defaultColWidth="8.7109375" defaultRowHeight="15" x14ac:dyDescent="0.25"/>
  <cols>
    <col min="1" max="1" width="36" style="1" customWidth="1"/>
    <col min="2" max="7" width="13" style="1" customWidth="1"/>
    <col min="8" max="8" width="28" style="1" customWidth="1"/>
    <col min="9" max="16384" width="8.7109375" style="1"/>
  </cols>
  <sheetData>
    <row r="1" spans="1:8" ht="30" customHeight="1" x14ac:dyDescent="0.25">
      <c r="A1" s="85" t="s">
        <v>162</v>
      </c>
      <c r="B1" s="85"/>
      <c r="C1" s="85"/>
      <c r="D1" s="85"/>
      <c r="E1" s="85"/>
      <c r="F1" s="85"/>
      <c r="G1" s="85"/>
      <c r="H1" s="85"/>
    </row>
    <row r="2" spans="1:8" ht="15" customHeight="1" x14ac:dyDescent="0.25">
      <c r="A2" s="86" t="s">
        <v>163</v>
      </c>
      <c r="B2" s="86"/>
      <c r="C2" s="86"/>
      <c r="D2" s="86"/>
      <c r="E2" s="86"/>
      <c r="F2" s="86"/>
      <c r="G2" s="86"/>
      <c r="H2" s="86"/>
    </row>
    <row r="3" spans="1:8" ht="27.75" customHeight="1" x14ac:dyDescent="0.25">
      <c r="A3" s="10" t="s">
        <v>103</v>
      </c>
      <c r="B3" s="28" t="str">
        <f>'⚙ SETUP'!C19</f>
        <v>2022-23 (Actual)</v>
      </c>
      <c r="C3" s="28" t="str">
        <f>'⚙ SETUP'!C20</f>
        <v>2023-24 (Actual)</v>
      </c>
      <c r="D3" s="29" t="str">
        <f>'⚙ SETUP'!C21</f>
        <v>2024-25 (Estimated)</v>
      </c>
      <c r="E3" s="30" t="str">
        <f>'⚙ SETUP'!C22</f>
        <v>2025-26 (Projected)</v>
      </c>
      <c r="F3" s="30" t="str">
        <f>'⚙ SETUP'!C23</f>
        <v>2026-27 (Projected)</v>
      </c>
      <c r="G3" s="30" t="str">
        <f>'⚙ SETUP'!C24</f>
        <v>2027-28 (Projected)</v>
      </c>
      <c r="H3" s="15" t="s">
        <v>164</v>
      </c>
    </row>
    <row r="4" spans="1:8" ht="21.75" customHeight="1" x14ac:dyDescent="0.25">
      <c r="A4" s="87" t="s">
        <v>165</v>
      </c>
      <c r="B4" s="87"/>
      <c r="C4" s="87"/>
      <c r="D4" s="87"/>
      <c r="E4" s="87"/>
      <c r="F4" s="87"/>
      <c r="G4" s="87"/>
      <c r="H4" s="87"/>
    </row>
    <row r="5" spans="1:8" ht="19.5" customHeight="1" x14ac:dyDescent="0.25">
      <c r="A5" s="83" t="s">
        <v>166</v>
      </c>
      <c r="B5" s="83"/>
      <c r="C5" s="83"/>
      <c r="D5" s="83"/>
      <c r="E5" s="83"/>
      <c r="F5" s="83"/>
      <c r="G5" s="83"/>
      <c r="H5" s="83"/>
    </row>
    <row r="6" spans="1:8" ht="19.5" customHeight="1" x14ac:dyDescent="0.25">
      <c r="A6" s="31" t="s">
        <v>167</v>
      </c>
      <c r="B6" s="32">
        <v>360</v>
      </c>
      <c r="C6" s="32">
        <v>460</v>
      </c>
      <c r="D6" s="32">
        <v>560</v>
      </c>
      <c r="E6" s="33">
        <v>640</v>
      </c>
      <c r="F6" s="33">
        <v>710</v>
      </c>
      <c r="G6" s="33">
        <v>780</v>
      </c>
      <c r="H6" s="5" t="s">
        <v>168</v>
      </c>
    </row>
    <row r="7" spans="1:8" ht="19.5" customHeight="1" x14ac:dyDescent="0.25">
      <c r="A7" s="31" t="s">
        <v>169</v>
      </c>
      <c r="B7" s="32">
        <v>62</v>
      </c>
      <c r="C7" s="32">
        <v>94</v>
      </c>
      <c r="D7" s="32">
        <v>132</v>
      </c>
      <c r="E7" s="33">
        <v>177</v>
      </c>
      <c r="F7" s="33">
        <v>229</v>
      </c>
      <c r="G7" s="33">
        <v>287</v>
      </c>
      <c r="H7" s="5"/>
    </row>
    <row r="8" spans="1:8" ht="19.5" customHeight="1" x14ac:dyDescent="0.25">
      <c r="A8" s="7" t="s">
        <v>170</v>
      </c>
      <c r="B8" s="18">
        <f t="shared" ref="B8:G8" si="0">B6-B7</f>
        <v>298</v>
      </c>
      <c r="C8" s="18">
        <f t="shared" si="0"/>
        <v>366</v>
      </c>
      <c r="D8" s="18">
        <f t="shared" si="0"/>
        <v>428</v>
      </c>
      <c r="E8" s="18">
        <f t="shared" si="0"/>
        <v>463</v>
      </c>
      <c r="F8" s="18">
        <f t="shared" si="0"/>
        <v>481</v>
      </c>
      <c r="G8" s="18">
        <f t="shared" si="0"/>
        <v>493</v>
      </c>
      <c r="H8" s="5" t="s">
        <v>171</v>
      </c>
    </row>
    <row r="9" spans="1:8" ht="19.5" customHeight="1" x14ac:dyDescent="0.25">
      <c r="A9" s="31" t="s">
        <v>172</v>
      </c>
      <c r="B9" s="32">
        <v>0</v>
      </c>
      <c r="C9" s="32">
        <v>60</v>
      </c>
      <c r="D9" s="32">
        <v>15</v>
      </c>
      <c r="E9" s="33">
        <v>0</v>
      </c>
      <c r="F9" s="33">
        <v>0</v>
      </c>
      <c r="G9" s="33">
        <v>0</v>
      </c>
      <c r="H9" s="5" t="s">
        <v>173</v>
      </c>
    </row>
    <row r="10" spans="1:8" ht="19.5" customHeight="1" x14ac:dyDescent="0.25">
      <c r="A10" s="31" t="s">
        <v>174</v>
      </c>
      <c r="B10" s="32">
        <v>0</v>
      </c>
      <c r="C10" s="32">
        <v>0</v>
      </c>
      <c r="D10" s="32">
        <v>0</v>
      </c>
      <c r="E10" s="33">
        <v>0</v>
      </c>
      <c r="F10" s="33">
        <v>0</v>
      </c>
      <c r="G10" s="33">
        <v>0</v>
      </c>
      <c r="H10" s="5" t="s">
        <v>175</v>
      </c>
    </row>
    <row r="11" spans="1:8" ht="19.5" customHeight="1" x14ac:dyDescent="0.25">
      <c r="A11" s="31" t="s">
        <v>176</v>
      </c>
      <c r="B11" s="32">
        <v>0</v>
      </c>
      <c r="C11" s="32">
        <v>0</v>
      </c>
      <c r="D11" s="32">
        <v>0</v>
      </c>
      <c r="E11" s="33">
        <v>0</v>
      </c>
      <c r="F11" s="33">
        <v>0</v>
      </c>
      <c r="G11" s="33">
        <v>0</v>
      </c>
      <c r="H11" s="5" t="s">
        <v>177</v>
      </c>
    </row>
    <row r="12" spans="1:8" ht="19.5" customHeight="1" x14ac:dyDescent="0.25">
      <c r="A12" s="31" t="s">
        <v>178</v>
      </c>
      <c r="B12" s="32">
        <v>4</v>
      </c>
      <c r="C12" s="32">
        <v>6</v>
      </c>
      <c r="D12" s="32">
        <v>8</v>
      </c>
      <c r="E12" s="33">
        <v>10</v>
      </c>
      <c r="F12" s="33">
        <v>12</v>
      </c>
      <c r="G12" s="33">
        <v>14</v>
      </c>
      <c r="H12" s="5"/>
    </row>
    <row r="13" spans="1:8" ht="19.5" customHeight="1" x14ac:dyDescent="0.25">
      <c r="A13" s="31" t="s">
        <v>179</v>
      </c>
      <c r="B13" s="32">
        <v>8</v>
      </c>
      <c r="C13" s="32">
        <v>10</v>
      </c>
      <c r="D13" s="32">
        <v>12</v>
      </c>
      <c r="E13" s="33">
        <v>14</v>
      </c>
      <c r="F13" s="33">
        <v>16</v>
      </c>
      <c r="G13" s="33">
        <v>18</v>
      </c>
      <c r="H13" s="5" t="s">
        <v>180</v>
      </c>
    </row>
    <row r="14" spans="1:8" ht="21.75" customHeight="1" x14ac:dyDescent="0.25">
      <c r="A14" s="34" t="s">
        <v>181</v>
      </c>
      <c r="B14" s="35">
        <f t="shared" ref="B14:G14" si="1">B8+B9+B10+B11+B12+B13</f>
        <v>310</v>
      </c>
      <c r="C14" s="35">
        <f t="shared" si="1"/>
        <v>442</v>
      </c>
      <c r="D14" s="35">
        <f t="shared" si="1"/>
        <v>463</v>
      </c>
      <c r="E14" s="35">
        <f t="shared" si="1"/>
        <v>487</v>
      </c>
      <c r="F14" s="35">
        <f t="shared" si="1"/>
        <v>509</v>
      </c>
      <c r="G14" s="35">
        <f t="shared" si="1"/>
        <v>525</v>
      </c>
      <c r="H14" s="5"/>
    </row>
    <row r="15" spans="1:8" ht="7.5" customHeight="1" x14ac:dyDescent="0.25">
      <c r="A15" s="36"/>
      <c r="B15" s="36"/>
      <c r="C15" s="36"/>
      <c r="D15" s="36"/>
      <c r="E15" s="36"/>
      <c r="F15" s="36"/>
      <c r="G15" s="36"/>
      <c r="H15" s="36"/>
    </row>
    <row r="16" spans="1:8" ht="19.5" customHeight="1" x14ac:dyDescent="0.25">
      <c r="A16" s="83" t="s">
        <v>182</v>
      </c>
      <c r="B16" s="83"/>
      <c r="C16" s="83"/>
      <c r="D16" s="83"/>
      <c r="E16" s="83"/>
      <c r="F16" s="83"/>
      <c r="G16" s="83"/>
      <c r="H16" s="83"/>
    </row>
    <row r="17" spans="1:8" ht="19.5" customHeight="1" x14ac:dyDescent="0.25">
      <c r="A17" s="31" t="s">
        <v>183</v>
      </c>
      <c r="B17" s="32">
        <v>68</v>
      </c>
      <c r="C17" s="32">
        <v>80</v>
      </c>
      <c r="D17" s="32">
        <v>94</v>
      </c>
      <c r="E17" s="33">
        <v>108</v>
      </c>
      <c r="F17" s="33">
        <v>125</v>
      </c>
      <c r="G17" s="33">
        <v>145</v>
      </c>
      <c r="H17" s="5" t="s">
        <v>184</v>
      </c>
    </row>
    <row r="18" spans="1:8" ht="19.5" customHeight="1" x14ac:dyDescent="0.25">
      <c r="A18" s="31" t="s">
        <v>185</v>
      </c>
      <c r="B18" s="32">
        <v>18</v>
      </c>
      <c r="C18" s="32">
        <v>21</v>
      </c>
      <c r="D18" s="32">
        <v>25</v>
      </c>
      <c r="E18" s="33">
        <v>30</v>
      </c>
      <c r="F18" s="33">
        <v>35</v>
      </c>
      <c r="G18" s="33">
        <v>40</v>
      </c>
      <c r="H18" s="5"/>
    </row>
    <row r="19" spans="1:8" ht="19.5" customHeight="1" x14ac:dyDescent="0.25">
      <c r="A19" s="31" t="s">
        <v>186</v>
      </c>
      <c r="B19" s="32">
        <v>37</v>
      </c>
      <c r="C19" s="32">
        <v>49</v>
      </c>
      <c r="D19" s="32">
        <v>59</v>
      </c>
      <c r="E19" s="33">
        <v>68</v>
      </c>
      <c r="F19" s="33">
        <v>78</v>
      </c>
      <c r="G19" s="33">
        <v>92</v>
      </c>
      <c r="H19" s="5"/>
    </row>
    <row r="20" spans="1:8" ht="19.5" customHeight="1" x14ac:dyDescent="0.25">
      <c r="A20" s="31" t="s">
        <v>187</v>
      </c>
      <c r="B20" s="32">
        <v>7</v>
      </c>
      <c r="C20" s="32">
        <v>8</v>
      </c>
      <c r="D20" s="32">
        <v>10</v>
      </c>
      <c r="E20" s="33">
        <v>12</v>
      </c>
      <c r="F20" s="33">
        <v>14</v>
      </c>
      <c r="G20" s="33">
        <v>16</v>
      </c>
      <c r="H20" s="5"/>
    </row>
    <row r="21" spans="1:8" ht="19.5" customHeight="1" x14ac:dyDescent="0.25">
      <c r="A21" s="37" t="s">
        <v>188</v>
      </c>
      <c r="B21" s="18">
        <f t="shared" ref="B21:G21" si="2">B17+B18+B19+B20</f>
        <v>130</v>
      </c>
      <c r="C21" s="18">
        <f t="shared" si="2"/>
        <v>158</v>
      </c>
      <c r="D21" s="18">
        <f t="shared" si="2"/>
        <v>188</v>
      </c>
      <c r="E21" s="18">
        <f t="shared" si="2"/>
        <v>218</v>
      </c>
      <c r="F21" s="18">
        <f t="shared" si="2"/>
        <v>252</v>
      </c>
      <c r="G21" s="18">
        <f t="shared" si="2"/>
        <v>293</v>
      </c>
      <c r="H21" s="5"/>
    </row>
    <row r="22" spans="1:8" ht="19.5" customHeight="1" x14ac:dyDescent="0.25">
      <c r="A22" s="31" t="s">
        <v>189</v>
      </c>
      <c r="B22" s="32">
        <v>108</v>
      </c>
      <c r="C22" s="32">
        <v>129</v>
      </c>
      <c r="D22" s="32">
        <v>152</v>
      </c>
      <c r="E22" s="33">
        <v>174</v>
      </c>
      <c r="F22" s="33">
        <v>202</v>
      </c>
      <c r="G22" s="33">
        <v>232</v>
      </c>
      <c r="H22" s="5" t="s">
        <v>190</v>
      </c>
    </row>
    <row r="23" spans="1:8" ht="19.5" customHeight="1" x14ac:dyDescent="0.25">
      <c r="A23" s="31" t="s">
        <v>191</v>
      </c>
      <c r="B23" s="32">
        <v>28</v>
      </c>
      <c r="C23" s="32">
        <v>33</v>
      </c>
      <c r="D23" s="32">
        <v>69</v>
      </c>
      <c r="E23" s="33">
        <v>62</v>
      </c>
      <c r="F23" s="33">
        <v>52</v>
      </c>
      <c r="G23" s="33">
        <v>52</v>
      </c>
      <c r="H23" s="5" t="s">
        <v>192</v>
      </c>
    </row>
    <row r="24" spans="1:8" ht="19.5" customHeight="1" x14ac:dyDescent="0.25">
      <c r="A24" s="31" t="s">
        <v>193</v>
      </c>
      <c r="B24" s="32">
        <v>10</v>
      </c>
      <c r="C24" s="32">
        <v>12</v>
      </c>
      <c r="D24" s="32">
        <v>14</v>
      </c>
      <c r="E24" s="33">
        <v>16</v>
      </c>
      <c r="F24" s="33">
        <v>19</v>
      </c>
      <c r="G24" s="33">
        <v>22</v>
      </c>
      <c r="H24" s="5" t="s">
        <v>194</v>
      </c>
    </row>
    <row r="25" spans="1:8" ht="19.5" customHeight="1" x14ac:dyDescent="0.25">
      <c r="A25" s="31" t="s">
        <v>195</v>
      </c>
      <c r="B25" s="32">
        <v>11</v>
      </c>
      <c r="C25" s="32">
        <v>13</v>
      </c>
      <c r="D25" s="32">
        <v>15</v>
      </c>
      <c r="E25" s="33">
        <v>18</v>
      </c>
      <c r="F25" s="33">
        <v>21</v>
      </c>
      <c r="G25" s="33">
        <v>24</v>
      </c>
      <c r="H25" s="5" t="s">
        <v>196</v>
      </c>
    </row>
    <row r="26" spans="1:8" ht="21.75" customHeight="1" x14ac:dyDescent="0.25">
      <c r="A26" s="34" t="s">
        <v>197</v>
      </c>
      <c r="B26" s="35">
        <f t="shared" ref="B26:G26" si="3">B21+B22+B23+B24+B25</f>
        <v>287</v>
      </c>
      <c r="C26" s="35">
        <f t="shared" si="3"/>
        <v>345</v>
      </c>
      <c r="D26" s="35">
        <f t="shared" si="3"/>
        <v>438</v>
      </c>
      <c r="E26" s="35">
        <f t="shared" si="3"/>
        <v>488</v>
      </c>
      <c r="F26" s="35">
        <f t="shared" si="3"/>
        <v>546</v>
      </c>
      <c r="G26" s="35">
        <f t="shared" si="3"/>
        <v>623</v>
      </c>
      <c r="H26" s="5"/>
    </row>
    <row r="27" spans="1:8" ht="7.5" customHeight="1" x14ac:dyDescent="0.25">
      <c r="A27" s="36"/>
      <c r="B27" s="36"/>
      <c r="C27" s="36"/>
      <c r="D27" s="36"/>
      <c r="E27" s="36"/>
      <c r="F27" s="36"/>
      <c r="G27" s="36"/>
      <c r="H27" s="36"/>
    </row>
    <row r="28" spans="1:8" ht="24" customHeight="1" x14ac:dyDescent="0.25">
      <c r="A28" s="10" t="s">
        <v>198</v>
      </c>
      <c r="B28" s="38">
        <f t="shared" ref="B28:G28" si="4">B14+B26</f>
        <v>597</v>
      </c>
      <c r="C28" s="38">
        <f t="shared" si="4"/>
        <v>787</v>
      </c>
      <c r="D28" s="38">
        <f t="shared" si="4"/>
        <v>901</v>
      </c>
      <c r="E28" s="38">
        <f t="shared" si="4"/>
        <v>975</v>
      </c>
      <c r="F28" s="38">
        <f t="shared" si="4"/>
        <v>1055</v>
      </c>
      <c r="G28" s="38">
        <f t="shared" si="4"/>
        <v>1148</v>
      </c>
      <c r="H28" s="5" t="s">
        <v>199</v>
      </c>
    </row>
    <row r="29" spans="1:8" ht="7.5" customHeight="1" x14ac:dyDescent="0.25">
      <c r="A29" s="36"/>
      <c r="B29" s="36"/>
      <c r="C29" s="36"/>
      <c r="D29" s="36"/>
      <c r="E29" s="36"/>
      <c r="F29" s="36"/>
      <c r="G29" s="36"/>
      <c r="H29" s="36"/>
    </row>
    <row r="30" spans="1:8" ht="21.75" customHeight="1" x14ac:dyDescent="0.25">
      <c r="A30" s="87" t="s">
        <v>200</v>
      </c>
      <c r="B30" s="87"/>
      <c r="C30" s="87"/>
      <c r="D30" s="87"/>
      <c r="E30" s="87"/>
      <c r="F30" s="87"/>
      <c r="G30" s="87"/>
      <c r="H30" s="87"/>
    </row>
    <row r="31" spans="1:8" ht="19.5" customHeight="1" x14ac:dyDescent="0.25">
      <c r="A31" s="83" t="s">
        <v>201</v>
      </c>
      <c r="B31" s="83"/>
      <c r="C31" s="83"/>
      <c r="D31" s="83"/>
      <c r="E31" s="83"/>
      <c r="F31" s="83"/>
      <c r="G31" s="83"/>
      <c r="H31" s="83"/>
    </row>
    <row r="32" spans="1:8" ht="19.5" customHeight="1" x14ac:dyDescent="0.25">
      <c r="A32" s="31" t="s">
        <v>202</v>
      </c>
      <c r="B32" s="32">
        <v>100</v>
      </c>
      <c r="C32" s="32">
        <v>100</v>
      </c>
      <c r="D32" s="32">
        <v>150</v>
      </c>
      <c r="E32" s="33">
        <v>150</v>
      </c>
      <c r="F32" s="33">
        <v>150</v>
      </c>
      <c r="G32" s="33">
        <v>150</v>
      </c>
      <c r="H32" s="5"/>
    </row>
    <row r="33" spans="1:8" ht="19.5" customHeight="1" x14ac:dyDescent="0.25">
      <c r="A33" s="31" t="s">
        <v>203</v>
      </c>
      <c r="B33" s="32">
        <v>79</v>
      </c>
      <c r="C33" s="32">
        <v>131</v>
      </c>
      <c r="D33" s="32">
        <v>188</v>
      </c>
      <c r="E33" s="33">
        <v>252</v>
      </c>
      <c r="F33" s="33">
        <v>329</v>
      </c>
      <c r="G33" s="33">
        <v>428</v>
      </c>
      <c r="H33" s="5" t="s">
        <v>204</v>
      </c>
    </row>
    <row r="34" spans="1:8" ht="19.5" customHeight="1" x14ac:dyDescent="0.25">
      <c r="A34" s="31" t="s">
        <v>205</v>
      </c>
      <c r="B34" s="32">
        <v>0</v>
      </c>
      <c r="C34" s="32">
        <v>0</v>
      </c>
      <c r="D34" s="32">
        <v>0</v>
      </c>
      <c r="E34" s="33">
        <v>0</v>
      </c>
      <c r="F34" s="33">
        <v>0</v>
      </c>
      <c r="G34" s="33">
        <v>0</v>
      </c>
      <c r="H34" s="5" t="s">
        <v>206</v>
      </c>
    </row>
    <row r="35" spans="1:8" ht="21.75" customHeight="1" x14ac:dyDescent="0.25">
      <c r="A35" s="34" t="s">
        <v>207</v>
      </c>
      <c r="B35" s="35">
        <f t="shared" ref="B35:G35" si="5">B32+B33-B34</f>
        <v>179</v>
      </c>
      <c r="C35" s="35">
        <f t="shared" si="5"/>
        <v>231</v>
      </c>
      <c r="D35" s="35">
        <f t="shared" si="5"/>
        <v>338</v>
      </c>
      <c r="E35" s="35">
        <f t="shared" si="5"/>
        <v>402</v>
      </c>
      <c r="F35" s="35">
        <f t="shared" si="5"/>
        <v>479</v>
      </c>
      <c r="G35" s="35">
        <f t="shared" si="5"/>
        <v>578</v>
      </c>
      <c r="H35" s="5" t="s">
        <v>208</v>
      </c>
    </row>
    <row r="36" spans="1:8" ht="7.5" customHeight="1" x14ac:dyDescent="0.25">
      <c r="A36" s="36"/>
      <c r="B36" s="36"/>
      <c r="C36" s="36"/>
      <c r="D36" s="36"/>
      <c r="E36" s="36"/>
      <c r="F36" s="36"/>
      <c r="G36" s="36"/>
      <c r="H36" s="36"/>
    </row>
    <row r="37" spans="1:8" ht="19.5" customHeight="1" x14ac:dyDescent="0.25">
      <c r="A37" s="83" t="s">
        <v>209</v>
      </c>
      <c r="B37" s="83"/>
      <c r="C37" s="83"/>
      <c r="D37" s="83"/>
      <c r="E37" s="83"/>
      <c r="F37" s="83"/>
      <c r="G37" s="83"/>
      <c r="H37" s="83"/>
    </row>
    <row r="38" spans="1:8" ht="19.5" customHeight="1" x14ac:dyDescent="0.25">
      <c r="A38" s="31" t="s">
        <v>210</v>
      </c>
      <c r="B38" s="32">
        <v>130</v>
      </c>
      <c r="C38" s="32">
        <v>210</v>
      </c>
      <c r="D38" s="32">
        <v>170</v>
      </c>
      <c r="E38" s="33">
        <v>130</v>
      </c>
      <c r="F38" s="33">
        <v>85</v>
      </c>
      <c r="G38" s="33">
        <v>35</v>
      </c>
      <c r="H38" s="5" t="s">
        <v>211</v>
      </c>
    </row>
    <row r="39" spans="1:8" ht="19.5" customHeight="1" x14ac:dyDescent="0.25">
      <c r="A39" s="31" t="s">
        <v>212</v>
      </c>
      <c r="B39" s="32">
        <v>0</v>
      </c>
      <c r="C39" s="32">
        <v>0</v>
      </c>
      <c r="D39" s="32">
        <v>0</v>
      </c>
      <c r="E39" s="33">
        <v>0</v>
      </c>
      <c r="F39" s="33">
        <v>0</v>
      </c>
      <c r="G39" s="33">
        <v>0</v>
      </c>
      <c r="H39" s="5"/>
    </row>
    <row r="40" spans="1:8" ht="19.5" customHeight="1" x14ac:dyDescent="0.25">
      <c r="A40" s="31" t="s">
        <v>213</v>
      </c>
      <c r="B40" s="32">
        <v>6</v>
      </c>
      <c r="C40" s="32">
        <v>8</v>
      </c>
      <c r="D40" s="32">
        <v>10</v>
      </c>
      <c r="E40" s="33">
        <v>12</v>
      </c>
      <c r="F40" s="33">
        <v>14</v>
      </c>
      <c r="G40" s="33">
        <v>16</v>
      </c>
      <c r="H40" s="5"/>
    </row>
    <row r="41" spans="1:8" ht="19.5" customHeight="1" x14ac:dyDescent="0.25">
      <c r="A41" s="31" t="s">
        <v>214</v>
      </c>
      <c r="B41" s="32">
        <v>4</v>
      </c>
      <c r="C41" s="32">
        <v>5</v>
      </c>
      <c r="D41" s="32">
        <v>6</v>
      </c>
      <c r="E41" s="33">
        <v>7</v>
      </c>
      <c r="F41" s="33">
        <v>8</v>
      </c>
      <c r="G41" s="33">
        <v>9</v>
      </c>
      <c r="H41" s="5"/>
    </row>
    <row r="42" spans="1:8" ht="21.75" customHeight="1" x14ac:dyDescent="0.25">
      <c r="A42" s="34" t="s">
        <v>215</v>
      </c>
      <c r="B42" s="35">
        <f t="shared" ref="B42:G42" si="6">B38+B39+B40+B41</f>
        <v>140</v>
      </c>
      <c r="C42" s="35">
        <f t="shared" si="6"/>
        <v>223</v>
      </c>
      <c r="D42" s="35">
        <f t="shared" si="6"/>
        <v>186</v>
      </c>
      <c r="E42" s="35">
        <f t="shared" si="6"/>
        <v>149</v>
      </c>
      <c r="F42" s="35">
        <f t="shared" si="6"/>
        <v>107</v>
      </c>
      <c r="G42" s="35">
        <f t="shared" si="6"/>
        <v>60</v>
      </c>
      <c r="H42" s="5"/>
    </row>
    <row r="43" spans="1:8" ht="7.5" customHeight="1" x14ac:dyDescent="0.25">
      <c r="A43" s="36"/>
      <c r="B43" s="36"/>
      <c r="C43" s="36"/>
      <c r="D43" s="36"/>
      <c r="E43" s="36"/>
      <c r="F43" s="36"/>
      <c r="G43" s="36"/>
      <c r="H43" s="36"/>
    </row>
    <row r="44" spans="1:8" ht="19.5" customHeight="1" x14ac:dyDescent="0.25">
      <c r="A44" s="83" t="s">
        <v>216</v>
      </c>
      <c r="B44" s="83"/>
      <c r="C44" s="83"/>
      <c r="D44" s="83"/>
      <c r="E44" s="83"/>
      <c r="F44" s="83"/>
      <c r="G44" s="83"/>
      <c r="H44" s="83"/>
    </row>
    <row r="45" spans="1:8" ht="19.5" customHeight="1" x14ac:dyDescent="0.25">
      <c r="A45" s="31" t="s">
        <v>217</v>
      </c>
      <c r="B45" s="32">
        <v>30</v>
      </c>
      <c r="C45" s="32">
        <v>40</v>
      </c>
      <c r="D45" s="32">
        <v>45</v>
      </c>
      <c r="E45" s="33">
        <v>50</v>
      </c>
      <c r="F45" s="33">
        <v>50</v>
      </c>
      <c r="G45" s="33">
        <v>50</v>
      </c>
      <c r="H45" s="5" t="s">
        <v>218</v>
      </c>
    </row>
    <row r="46" spans="1:8" ht="19.5" customHeight="1" x14ac:dyDescent="0.25">
      <c r="A46" s="31" t="s">
        <v>219</v>
      </c>
      <c r="B46" s="32">
        <v>160</v>
      </c>
      <c r="C46" s="32">
        <v>185</v>
      </c>
      <c r="D46" s="32">
        <v>205</v>
      </c>
      <c r="E46" s="33">
        <v>225</v>
      </c>
      <c r="F46" s="33">
        <v>245</v>
      </c>
      <c r="G46" s="33">
        <v>260</v>
      </c>
      <c r="H46" s="5" t="s">
        <v>220</v>
      </c>
    </row>
    <row r="47" spans="1:8" ht="19.5" customHeight="1" x14ac:dyDescent="0.25">
      <c r="A47" s="31" t="s">
        <v>221</v>
      </c>
      <c r="B47" s="32">
        <v>56</v>
      </c>
      <c r="C47" s="32">
        <v>68</v>
      </c>
      <c r="D47" s="32">
        <v>80</v>
      </c>
      <c r="E47" s="33">
        <v>93</v>
      </c>
      <c r="F47" s="33">
        <v>108</v>
      </c>
      <c r="G47" s="33">
        <v>124</v>
      </c>
      <c r="H47" s="5" t="s">
        <v>222</v>
      </c>
    </row>
    <row r="48" spans="1:8" ht="19.5" customHeight="1" x14ac:dyDescent="0.25">
      <c r="A48" s="31" t="s">
        <v>223</v>
      </c>
      <c r="B48" s="32">
        <v>8</v>
      </c>
      <c r="C48" s="32">
        <v>10</v>
      </c>
      <c r="D48" s="32">
        <v>12</v>
      </c>
      <c r="E48" s="33">
        <v>14</v>
      </c>
      <c r="F48" s="33">
        <v>17</v>
      </c>
      <c r="G48" s="33">
        <v>20</v>
      </c>
      <c r="H48" s="5"/>
    </row>
    <row r="49" spans="1:8" ht="19.5" customHeight="1" x14ac:dyDescent="0.25">
      <c r="A49" s="31" t="s">
        <v>224</v>
      </c>
      <c r="B49" s="32">
        <v>14</v>
      </c>
      <c r="C49" s="32">
        <v>17</v>
      </c>
      <c r="D49" s="32">
        <v>20</v>
      </c>
      <c r="E49" s="33">
        <v>24</v>
      </c>
      <c r="F49" s="33">
        <v>28</v>
      </c>
      <c r="G49" s="33">
        <v>32</v>
      </c>
      <c r="H49" s="5"/>
    </row>
    <row r="50" spans="1:8" ht="19.5" customHeight="1" x14ac:dyDescent="0.25">
      <c r="A50" s="31" t="s">
        <v>225</v>
      </c>
      <c r="B50" s="32">
        <v>10</v>
      </c>
      <c r="C50" s="32">
        <v>13</v>
      </c>
      <c r="D50" s="32">
        <v>15</v>
      </c>
      <c r="E50" s="33">
        <v>18</v>
      </c>
      <c r="F50" s="33">
        <v>21</v>
      </c>
      <c r="G50" s="33">
        <v>24</v>
      </c>
      <c r="H50" s="5" t="s">
        <v>226</v>
      </c>
    </row>
    <row r="51" spans="1:8" ht="21.75" customHeight="1" x14ac:dyDescent="0.25">
      <c r="A51" s="34" t="s">
        <v>227</v>
      </c>
      <c r="B51" s="35">
        <f t="shared" ref="B51:G51" si="7">B45+B46+B47+B48+B49+B50</f>
        <v>278</v>
      </c>
      <c r="C51" s="35">
        <f t="shared" si="7"/>
        <v>333</v>
      </c>
      <c r="D51" s="35">
        <f t="shared" si="7"/>
        <v>377</v>
      </c>
      <c r="E51" s="35">
        <f t="shared" si="7"/>
        <v>424</v>
      </c>
      <c r="F51" s="35">
        <f t="shared" si="7"/>
        <v>469</v>
      </c>
      <c r="G51" s="35">
        <f t="shared" si="7"/>
        <v>510</v>
      </c>
      <c r="H51" s="5"/>
    </row>
    <row r="52" spans="1:8" ht="7.5" customHeight="1" x14ac:dyDescent="0.25">
      <c r="A52" s="36"/>
      <c r="B52" s="36"/>
      <c r="C52" s="36"/>
      <c r="D52" s="36"/>
      <c r="E52" s="36"/>
      <c r="F52" s="36"/>
      <c r="G52" s="36"/>
      <c r="H52" s="36"/>
    </row>
    <row r="53" spans="1:8" ht="24" customHeight="1" x14ac:dyDescent="0.25">
      <c r="A53" s="10" t="s">
        <v>228</v>
      </c>
      <c r="B53" s="38">
        <f t="shared" ref="B53:G53" si="8">B35+B42+B51</f>
        <v>597</v>
      </c>
      <c r="C53" s="38">
        <f t="shared" si="8"/>
        <v>787</v>
      </c>
      <c r="D53" s="38">
        <f t="shared" si="8"/>
        <v>901</v>
      </c>
      <c r="E53" s="38">
        <f t="shared" si="8"/>
        <v>975</v>
      </c>
      <c r="F53" s="38">
        <f t="shared" si="8"/>
        <v>1055</v>
      </c>
      <c r="G53" s="38">
        <f t="shared" si="8"/>
        <v>1148</v>
      </c>
      <c r="H53" s="5"/>
    </row>
    <row r="55" spans="1:8" ht="21.75" customHeight="1" x14ac:dyDescent="0.25">
      <c r="A55" s="21" t="s">
        <v>229</v>
      </c>
      <c r="B55" s="30" t="str">
        <f t="shared" ref="B55:G55" si="9">IF(ABS(B28-B53)&lt;0.01,"✅ Balanced","❌ Diff: "&amp;TEXT(B28-B53,"#,##0.00"))</f>
        <v>✅ Balanced</v>
      </c>
      <c r="C55" s="30" t="str">
        <f t="shared" si="9"/>
        <v>✅ Balanced</v>
      </c>
      <c r="D55" s="30" t="str">
        <f t="shared" si="9"/>
        <v>✅ Balanced</v>
      </c>
      <c r="E55" s="30" t="str">
        <f t="shared" si="9"/>
        <v>✅ Balanced</v>
      </c>
      <c r="F55" s="30" t="str">
        <f t="shared" si="9"/>
        <v>✅ Balanced</v>
      </c>
      <c r="G55" s="30" t="str">
        <f t="shared" si="9"/>
        <v>✅ Balanced</v>
      </c>
    </row>
    <row r="57" spans="1:8" ht="24" customHeight="1" x14ac:dyDescent="0.25">
      <c r="A57" s="39" t="s">
        <v>230</v>
      </c>
      <c r="B57" s="40">
        <f t="shared" ref="B57:G57" si="10">B26-B51</f>
        <v>9</v>
      </c>
      <c r="C57" s="40">
        <f t="shared" si="10"/>
        <v>12</v>
      </c>
      <c r="D57" s="40">
        <f t="shared" si="10"/>
        <v>61</v>
      </c>
      <c r="E57" s="40">
        <f t="shared" si="10"/>
        <v>64</v>
      </c>
      <c r="F57" s="40">
        <f t="shared" si="10"/>
        <v>77</v>
      </c>
      <c r="G57" s="40">
        <f t="shared" si="10"/>
        <v>113</v>
      </c>
      <c r="H57" s="5" t="s">
        <v>231</v>
      </c>
    </row>
    <row r="58" spans="1:8" ht="7.5" customHeight="1" x14ac:dyDescent="0.25"/>
    <row r="59" spans="1:8" ht="21.75" customHeight="1" x14ac:dyDescent="0.25">
      <c r="A59" s="92" t="s">
        <v>232</v>
      </c>
      <c r="B59" s="92"/>
      <c r="C59" s="92"/>
      <c r="D59" s="92"/>
      <c r="E59" s="92"/>
      <c r="F59" s="92"/>
      <c r="G59" s="92"/>
      <c r="H59" s="92"/>
    </row>
    <row r="60" spans="1:8" ht="19.5" customHeight="1" x14ac:dyDescent="0.25">
      <c r="A60" s="31" t="s">
        <v>233</v>
      </c>
      <c r="B60" s="41" t="str">
        <f t="shared" ref="B60:G60" si="11">IF(ABS(B28-B53)&lt;0.01,"✅ Balanced","❌ Diff: "&amp;TEXT(B28-B53,"#,##0.00"))</f>
        <v>✅ Balanced</v>
      </c>
      <c r="C60" s="41" t="str">
        <f t="shared" si="11"/>
        <v>✅ Balanced</v>
      </c>
      <c r="D60" s="41" t="str">
        <f t="shared" si="11"/>
        <v>✅ Balanced</v>
      </c>
      <c r="E60" s="41" t="str">
        <f t="shared" si="11"/>
        <v>✅ Balanced</v>
      </c>
      <c r="F60" s="41" t="str">
        <f t="shared" si="11"/>
        <v>✅ Balanced</v>
      </c>
      <c r="G60" s="41" t="str">
        <f t="shared" si="11"/>
        <v>✅ Balanced</v>
      </c>
      <c r="H60" s="5" t="s">
        <v>234</v>
      </c>
    </row>
    <row r="61" spans="1:8" ht="19.5" customHeight="1" x14ac:dyDescent="0.25">
      <c r="A61" s="31" t="s">
        <v>235</v>
      </c>
      <c r="B61" s="41" t="s">
        <v>236</v>
      </c>
      <c r="C61" s="41" t="str">
        <f>IF(C7&gt;=B7,"✅ OK","⚠ Dep fell—verify")</f>
        <v>✅ OK</v>
      </c>
      <c r="D61" s="41" t="str">
        <f>IF(D7&gt;=C7,"✅ OK","⚠ Dep fell—verify")</f>
        <v>✅ OK</v>
      </c>
      <c r="E61" s="41" t="str">
        <f>IF(E7&gt;=D7,"✅ OK","⚠ Dep fell—verify")</f>
        <v>✅ OK</v>
      </c>
      <c r="F61" s="41" t="str">
        <f>IF(F7&gt;=E7,"✅ OK","⚠ Dep fell—verify")</f>
        <v>✅ OK</v>
      </c>
      <c r="G61" s="41" t="str">
        <f>IF(G7&gt;=F7,"✅ OK","⚠ Dep fell—verify")</f>
        <v>✅ OK</v>
      </c>
      <c r="H61" s="5" t="s">
        <v>237</v>
      </c>
    </row>
    <row r="62" spans="1:8" ht="19.5" customHeight="1" x14ac:dyDescent="0.25">
      <c r="A62" s="31" t="s">
        <v>238</v>
      </c>
      <c r="B62" s="41" t="str">
        <f t="shared" ref="B62:G62" si="12">IF(B26&gt;0,"✅ CA positive","⚠ Zero CA—verify entries")</f>
        <v>✅ CA positive</v>
      </c>
      <c r="C62" s="41" t="str">
        <f t="shared" si="12"/>
        <v>✅ CA positive</v>
      </c>
      <c r="D62" s="41" t="str">
        <f t="shared" si="12"/>
        <v>✅ CA positive</v>
      </c>
      <c r="E62" s="41" t="str">
        <f t="shared" si="12"/>
        <v>✅ CA positive</v>
      </c>
      <c r="F62" s="41" t="str">
        <f t="shared" si="12"/>
        <v>✅ CA positive</v>
      </c>
      <c r="G62" s="41" t="str">
        <f t="shared" si="12"/>
        <v>✅ CA positive</v>
      </c>
      <c r="H62" s="5" t="s">
        <v>239</v>
      </c>
    </row>
    <row r="63" spans="1:8" ht="19.5" customHeight="1" x14ac:dyDescent="0.25">
      <c r="A63" s="31" t="s">
        <v>240</v>
      </c>
      <c r="B63" s="41" t="str">
        <f t="shared" ref="B63:G63" si="13">IF(B35&gt;0,"✅ TNW positive","⚠ Negative TNW—high risk flag")</f>
        <v>✅ TNW positive</v>
      </c>
      <c r="C63" s="41" t="str">
        <f t="shared" si="13"/>
        <v>✅ TNW positive</v>
      </c>
      <c r="D63" s="41" t="str">
        <f t="shared" si="13"/>
        <v>✅ TNW positive</v>
      </c>
      <c r="E63" s="41" t="str">
        <f t="shared" si="13"/>
        <v>✅ TNW positive</v>
      </c>
      <c r="F63" s="41" t="str">
        <f t="shared" si="13"/>
        <v>✅ TNW positive</v>
      </c>
      <c r="G63" s="41" t="str">
        <f t="shared" si="13"/>
        <v>✅ TNW positive</v>
      </c>
      <c r="H63" s="5" t="s">
        <v>241</v>
      </c>
    </row>
  </sheetData>
  <mergeCells count="10">
    <mergeCell ref="A1:H1"/>
    <mergeCell ref="A2:H2"/>
    <mergeCell ref="A4:H4"/>
    <mergeCell ref="A5:H5"/>
    <mergeCell ref="A16:H16"/>
    <mergeCell ref="A30:H30"/>
    <mergeCell ref="A31:H31"/>
    <mergeCell ref="A37:H37"/>
    <mergeCell ref="A44:H44"/>
    <mergeCell ref="A59:H59"/>
  </mergeCells>
  <pageMargins left="0.5" right="0.5" top="0.75" bottom="0.75" header="0.511811023622047" footer="0.511811023622047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A04000"/>
  </sheetPr>
  <dimension ref="A1:H52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XFD1048576"/>
    </sheetView>
  </sheetViews>
  <sheetFormatPr defaultColWidth="8.7109375" defaultRowHeight="15" x14ac:dyDescent="0.25"/>
  <cols>
    <col min="1" max="1" width="36" style="1" customWidth="1"/>
    <col min="2" max="7" width="13" style="1" customWidth="1"/>
    <col min="8" max="8" width="28" style="1" customWidth="1"/>
    <col min="9" max="16384" width="8.7109375" style="1"/>
  </cols>
  <sheetData>
    <row r="1" spans="1:8" ht="30" customHeight="1" x14ac:dyDescent="0.25">
      <c r="A1" s="85" t="s">
        <v>242</v>
      </c>
      <c r="B1" s="85"/>
      <c r="C1" s="85"/>
      <c r="D1" s="85"/>
      <c r="E1" s="85"/>
      <c r="F1" s="85"/>
      <c r="G1" s="85"/>
      <c r="H1" s="85"/>
    </row>
    <row r="2" spans="1:8" ht="15" customHeight="1" x14ac:dyDescent="0.25">
      <c r="A2" s="86" t="s">
        <v>243</v>
      </c>
      <c r="B2" s="86"/>
      <c r="C2" s="86"/>
      <c r="D2" s="86"/>
      <c r="E2" s="86"/>
      <c r="F2" s="86"/>
      <c r="G2" s="86"/>
      <c r="H2" s="86"/>
    </row>
    <row r="3" spans="1:8" ht="27.75" customHeight="1" x14ac:dyDescent="0.25">
      <c r="A3" s="10" t="s">
        <v>103</v>
      </c>
      <c r="B3" s="28" t="str">
        <f>'⚙ SETUP'!C19</f>
        <v>2022-23 (Actual)</v>
      </c>
      <c r="C3" s="28" t="str">
        <f>'⚙ SETUP'!C20</f>
        <v>2023-24 (Actual)</v>
      </c>
      <c r="D3" s="29" t="str">
        <f>'⚙ SETUP'!C21</f>
        <v>2024-25 (Estimated)</v>
      </c>
      <c r="E3" s="30" t="str">
        <f>'⚙ SETUP'!C22</f>
        <v>2025-26 (Projected)</v>
      </c>
      <c r="F3" s="30" t="str">
        <f>'⚙ SETUP'!C23</f>
        <v>2026-27 (Projected)</v>
      </c>
      <c r="G3" s="30" t="str">
        <f>'⚙ SETUP'!C24</f>
        <v>2027-28 (Projected)</v>
      </c>
      <c r="H3" s="15" t="s">
        <v>164</v>
      </c>
    </row>
    <row r="4" spans="1:8" ht="21.75" customHeight="1" x14ac:dyDescent="0.25">
      <c r="A4" s="83" t="s">
        <v>244</v>
      </c>
      <c r="B4" s="83"/>
      <c r="C4" s="83"/>
      <c r="D4" s="83"/>
      <c r="E4" s="83"/>
      <c r="F4" s="83"/>
      <c r="G4" s="83"/>
      <c r="H4" s="83"/>
    </row>
    <row r="5" spans="1:8" ht="19.5" customHeight="1" x14ac:dyDescent="0.25">
      <c r="A5" s="31" t="s">
        <v>245</v>
      </c>
      <c r="B5" s="32">
        <v>820</v>
      </c>
      <c r="C5" s="32">
        <v>985</v>
      </c>
      <c r="D5" s="32">
        <v>1155</v>
      </c>
      <c r="E5" s="33">
        <v>1325</v>
      </c>
      <c r="F5" s="33">
        <v>1525</v>
      </c>
      <c r="G5" s="33">
        <v>1755</v>
      </c>
      <c r="H5" s="5" t="s">
        <v>246</v>
      </c>
    </row>
    <row r="6" spans="1:8" ht="19.5" customHeight="1" x14ac:dyDescent="0.25">
      <c r="A6" s="31" t="s">
        <v>247</v>
      </c>
      <c r="B6" s="32">
        <v>20</v>
      </c>
      <c r="C6" s="32">
        <v>25</v>
      </c>
      <c r="D6" s="32">
        <v>30</v>
      </c>
      <c r="E6" s="33">
        <v>35</v>
      </c>
      <c r="F6" s="33">
        <v>45</v>
      </c>
      <c r="G6" s="33">
        <v>55</v>
      </c>
      <c r="H6" s="5"/>
    </row>
    <row r="7" spans="1:8" ht="19.5" customHeight="1" x14ac:dyDescent="0.25">
      <c r="A7" s="34" t="s">
        <v>248</v>
      </c>
      <c r="B7" s="35">
        <f t="shared" ref="B7:G7" si="0">B5-B6</f>
        <v>800</v>
      </c>
      <c r="C7" s="35">
        <f t="shared" si="0"/>
        <v>960</v>
      </c>
      <c r="D7" s="35">
        <f t="shared" si="0"/>
        <v>1125</v>
      </c>
      <c r="E7" s="35">
        <f t="shared" si="0"/>
        <v>1290</v>
      </c>
      <c r="F7" s="35">
        <f t="shared" si="0"/>
        <v>1480</v>
      </c>
      <c r="G7" s="35">
        <f t="shared" si="0"/>
        <v>1700</v>
      </c>
      <c r="H7" s="5" t="s">
        <v>249</v>
      </c>
    </row>
    <row r="8" spans="1:8" ht="7.5" customHeight="1" x14ac:dyDescent="0.25">
      <c r="A8" s="36"/>
      <c r="B8" s="36"/>
      <c r="C8" s="36"/>
      <c r="D8" s="36"/>
      <c r="E8" s="36"/>
      <c r="F8" s="36"/>
      <c r="G8" s="36"/>
      <c r="H8" s="36"/>
    </row>
    <row r="9" spans="1:8" ht="21.75" customHeight="1" x14ac:dyDescent="0.25">
      <c r="A9" s="83" t="s">
        <v>250</v>
      </c>
      <c r="B9" s="83"/>
      <c r="C9" s="83"/>
      <c r="D9" s="83"/>
      <c r="E9" s="83"/>
      <c r="F9" s="83"/>
      <c r="G9" s="83"/>
      <c r="H9" s="83"/>
    </row>
    <row r="10" spans="1:8" ht="19.5" customHeight="1" x14ac:dyDescent="0.25">
      <c r="A10" s="31" t="s">
        <v>251</v>
      </c>
      <c r="B10" s="32">
        <v>480</v>
      </c>
      <c r="C10" s="32">
        <v>576</v>
      </c>
      <c r="D10" s="32">
        <v>675</v>
      </c>
      <c r="E10" s="33">
        <v>774</v>
      </c>
      <c r="F10" s="33">
        <v>888</v>
      </c>
      <c r="G10" s="33">
        <v>1020</v>
      </c>
      <c r="H10" s="5" t="s">
        <v>252</v>
      </c>
    </row>
    <row r="11" spans="1:8" ht="19.5" customHeight="1" x14ac:dyDescent="0.25">
      <c r="A11" s="31" t="s">
        <v>253</v>
      </c>
      <c r="B11" s="32">
        <v>40</v>
      </c>
      <c r="C11" s="32">
        <v>48</v>
      </c>
      <c r="D11" s="32">
        <v>56</v>
      </c>
      <c r="E11" s="33">
        <v>65</v>
      </c>
      <c r="F11" s="33">
        <v>74</v>
      </c>
      <c r="G11" s="33">
        <v>85</v>
      </c>
      <c r="H11" s="5"/>
    </row>
    <row r="12" spans="1:8" ht="19.5" customHeight="1" x14ac:dyDescent="0.25">
      <c r="A12" s="31" t="s">
        <v>254</v>
      </c>
      <c r="B12" s="32">
        <v>56</v>
      </c>
      <c r="C12" s="32">
        <v>67</v>
      </c>
      <c r="D12" s="32">
        <v>79</v>
      </c>
      <c r="E12" s="33">
        <v>90</v>
      </c>
      <c r="F12" s="33">
        <v>104</v>
      </c>
      <c r="G12" s="33">
        <v>119</v>
      </c>
      <c r="H12" s="5" t="s">
        <v>255</v>
      </c>
    </row>
    <row r="13" spans="1:8" ht="19.5" customHeight="1" x14ac:dyDescent="0.25">
      <c r="A13" s="31" t="s">
        <v>256</v>
      </c>
      <c r="B13" s="32">
        <v>8</v>
      </c>
      <c r="C13" s="32">
        <v>10</v>
      </c>
      <c r="D13" s="32">
        <v>11</v>
      </c>
      <c r="E13" s="33">
        <v>13</v>
      </c>
      <c r="F13" s="33">
        <v>15</v>
      </c>
      <c r="G13" s="33">
        <v>17</v>
      </c>
      <c r="H13" s="5"/>
    </row>
    <row r="14" spans="1:8" ht="19.5" customHeight="1" x14ac:dyDescent="0.25">
      <c r="A14" s="31" t="s">
        <v>257</v>
      </c>
      <c r="B14" s="32">
        <v>20</v>
      </c>
      <c r="C14" s="32">
        <v>24</v>
      </c>
      <c r="D14" s="32">
        <v>28</v>
      </c>
      <c r="E14" s="33">
        <v>32</v>
      </c>
      <c r="F14" s="33">
        <v>37</v>
      </c>
      <c r="G14" s="33">
        <v>43</v>
      </c>
      <c r="H14" s="5" t="s">
        <v>258</v>
      </c>
    </row>
    <row r="15" spans="1:8" ht="19.5" customHeight="1" x14ac:dyDescent="0.25">
      <c r="A15" s="37" t="s">
        <v>259</v>
      </c>
      <c r="B15" s="18">
        <f t="shared" ref="B15:G15" si="1">B10+B11+B12+B13+B14</f>
        <v>604</v>
      </c>
      <c r="C15" s="18">
        <f t="shared" si="1"/>
        <v>725</v>
      </c>
      <c r="D15" s="18">
        <f t="shared" si="1"/>
        <v>849</v>
      </c>
      <c r="E15" s="18">
        <f t="shared" si="1"/>
        <v>974</v>
      </c>
      <c r="F15" s="18">
        <f t="shared" si="1"/>
        <v>1118</v>
      </c>
      <c r="G15" s="18">
        <f t="shared" si="1"/>
        <v>1284</v>
      </c>
      <c r="H15" s="5"/>
    </row>
    <row r="16" spans="1:8" ht="19.5" customHeight="1" x14ac:dyDescent="0.25">
      <c r="A16" s="31" t="s">
        <v>260</v>
      </c>
      <c r="B16" s="32">
        <v>45</v>
      </c>
      <c r="C16" s="32">
        <v>55</v>
      </c>
      <c r="D16" s="32">
        <v>70</v>
      </c>
      <c r="E16" s="33">
        <v>84</v>
      </c>
      <c r="F16" s="33">
        <v>98</v>
      </c>
      <c r="G16" s="33">
        <v>113</v>
      </c>
      <c r="H16" s="5"/>
    </row>
    <row r="17" spans="1:8" ht="19.5" customHeight="1" x14ac:dyDescent="0.25">
      <c r="A17" s="31" t="s">
        <v>261</v>
      </c>
      <c r="B17" s="32">
        <v>55</v>
      </c>
      <c r="C17" s="32">
        <v>70</v>
      </c>
      <c r="D17" s="32">
        <v>84</v>
      </c>
      <c r="E17" s="33">
        <v>98</v>
      </c>
      <c r="F17" s="33">
        <v>113</v>
      </c>
      <c r="G17" s="33">
        <v>132</v>
      </c>
      <c r="H17" s="5"/>
    </row>
    <row r="18" spans="1:8" ht="19.5" customHeight="1" x14ac:dyDescent="0.25">
      <c r="A18" s="42" t="s">
        <v>262</v>
      </c>
      <c r="B18" s="43">
        <f t="shared" ref="B18:G18" si="2">B15+B16-B17</f>
        <v>594</v>
      </c>
      <c r="C18" s="43">
        <f t="shared" si="2"/>
        <v>710</v>
      </c>
      <c r="D18" s="43">
        <f t="shared" si="2"/>
        <v>835</v>
      </c>
      <c r="E18" s="43">
        <f t="shared" si="2"/>
        <v>960</v>
      </c>
      <c r="F18" s="43">
        <f t="shared" si="2"/>
        <v>1103</v>
      </c>
      <c r="G18" s="43">
        <f t="shared" si="2"/>
        <v>1265</v>
      </c>
      <c r="H18" s="5"/>
    </row>
    <row r="19" spans="1:8" ht="7.5" customHeight="1" x14ac:dyDescent="0.25">
      <c r="A19" s="36"/>
      <c r="B19" s="36"/>
      <c r="C19" s="36"/>
      <c r="D19" s="36"/>
      <c r="E19" s="36"/>
      <c r="F19" s="36"/>
      <c r="G19" s="36"/>
      <c r="H19" s="36"/>
    </row>
    <row r="20" spans="1:8" ht="21.75" customHeight="1" x14ac:dyDescent="0.25">
      <c r="A20" s="83" t="s">
        <v>263</v>
      </c>
      <c r="B20" s="83"/>
      <c r="C20" s="83"/>
      <c r="D20" s="83"/>
      <c r="E20" s="83"/>
      <c r="F20" s="83"/>
      <c r="G20" s="83"/>
      <c r="H20" s="83"/>
    </row>
    <row r="21" spans="1:8" ht="19.5" customHeight="1" x14ac:dyDescent="0.25">
      <c r="A21" s="44" t="s">
        <v>264</v>
      </c>
      <c r="B21" s="45">
        <f t="shared" ref="B21:G21" si="3">B7-B18</f>
        <v>206</v>
      </c>
      <c r="C21" s="45">
        <f t="shared" si="3"/>
        <v>250</v>
      </c>
      <c r="D21" s="45">
        <f t="shared" si="3"/>
        <v>290</v>
      </c>
      <c r="E21" s="45">
        <f t="shared" si="3"/>
        <v>330</v>
      </c>
      <c r="F21" s="45">
        <f t="shared" si="3"/>
        <v>377</v>
      </c>
      <c r="G21" s="45">
        <f t="shared" si="3"/>
        <v>435</v>
      </c>
      <c r="H21" s="5"/>
    </row>
    <row r="22" spans="1:8" ht="7.5" customHeight="1" x14ac:dyDescent="0.25">
      <c r="A22" s="36"/>
      <c r="B22" s="36"/>
      <c r="C22" s="36"/>
      <c r="D22" s="36"/>
      <c r="E22" s="36"/>
      <c r="F22" s="36"/>
      <c r="G22" s="36"/>
      <c r="H22" s="36"/>
    </row>
    <row r="23" spans="1:8" ht="19.5" customHeight="1" x14ac:dyDescent="0.25">
      <c r="A23" s="31" t="s">
        <v>265</v>
      </c>
      <c r="B23" s="32">
        <v>35</v>
      </c>
      <c r="C23" s="32">
        <v>42</v>
      </c>
      <c r="D23" s="32">
        <v>49</v>
      </c>
      <c r="E23" s="33">
        <v>57</v>
      </c>
      <c r="F23" s="33">
        <v>66</v>
      </c>
      <c r="G23" s="33">
        <v>76</v>
      </c>
      <c r="H23" s="5"/>
    </row>
    <row r="24" spans="1:8" ht="19.5" customHeight="1" x14ac:dyDescent="0.25">
      <c r="A24" s="31" t="s">
        <v>266</v>
      </c>
      <c r="B24" s="32">
        <v>28</v>
      </c>
      <c r="C24" s="32">
        <v>34</v>
      </c>
      <c r="D24" s="32">
        <v>40</v>
      </c>
      <c r="E24" s="33">
        <v>46</v>
      </c>
      <c r="F24" s="33">
        <v>53</v>
      </c>
      <c r="G24" s="33">
        <v>61</v>
      </c>
      <c r="H24" s="5"/>
    </row>
    <row r="25" spans="1:8" ht="19.5" customHeight="1" x14ac:dyDescent="0.25">
      <c r="A25" s="31" t="s">
        <v>267</v>
      </c>
      <c r="B25" s="32">
        <v>12</v>
      </c>
      <c r="C25" s="32">
        <v>14</v>
      </c>
      <c r="D25" s="32">
        <v>16</v>
      </c>
      <c r="E25" s="33">
        <v>19</v>
      </c>
      <c r="F25" s="33">
        <v>22</v>
      </c>
      <c r="G25" s="33">
        <v>25</v>
      </c>
      <c r="H25" s="5"/>
    </row>
    <row r="26" spans="1:8" ht="19.5" customHeight="1" x14ac:dyDescent="0.25">
      <c r="A26" s="37" t="s">
        <v>268</v>
      </c>
      <c r="B26" s="18">
        <f t="shared" ref="B26:G26" si="4">B23+B24+B25</f>
        <v>75</v>
      </c>
      <c r="C26" s="18">
        <f t="shared" si="4"/>
        <v>90</v>
      </c>
      <c r="D26" s="18">
        <f t="shared" si="4"/>
        <v>105</v>
      </c>
      <c r="E26" s="18">
        <f t="shared" si="4"/>
        <v>122</v>
      </c>
      <c r="F26" s="18">
        <f t="shared" si="4"/>
        <v>141</v>
      </c>
      <c r="G26" s="18">
        <f t="shared" si="4"/>
        <v>162</v>
      </c>
      <c r="H26" s="5"/>
    </row>
    <row r="27" spans="1:8" ht="7.5" customHeight="1" x14ac:dyDescent="0.25">
      <c r="A27" s="36"/>
      <c r="B27" s="36"/>
      <c r="C27" s="36"/>
      <c r="D27" s="36"/>
      <c r="E27" s="36"/>
      <c r="F27" s="36"/>
      <c r="G27" s="36"/>
      <c r="H27" s="36"/>
    </row>
    <row r="28" spans="1:8" ht="25.5" customHeight="1" x14ac:dyDescent="0.25">
      <c r="A28" s="46" t="s">
        <v>269</v>
      </c>
      <c r="B28" s="47">
        <f t="shared" ref="B28:G28" si="5">B21-B26</f>
        <v>131</v>
      </c>
      <c r="C28" s="47">
        <f t="shared" si="5"/>
        <v>160</v>
      </c>
      <c r="D28" s="47">
        <f t="shared" si="5"/>
        <v>185</v>
      </c>
      <c r="E28" s="47">
        <f t="shared" si="5"/>
        <v>208</v>
      </c>
      <c r="F28" s="47">
        <f t="shared" si="5"/>
        <v>236</v>
      </c>
      <c r="G28" s="47">
        <f t="shared" si="5"/>
        <v>273</v>
      </c>
      <c r="H28" s="5" t="s">
        <v>270</v>
      </c>
    </row>
    <row r="29" spans="1:8" ht="7.5" customHeight="1" x14ac:dyDescent="0.25">
      <c r="A29" s="36"/>
      <c r="B29" s="36"/>
      <c r="C29" s="36"/>
      <c r="D29" s="36"/>
      <c r="E29" s="36"/>
      <c r="F29" s="36"/>
      <c r="G29" s="36"/>
      <c r="H29" s="36"/>
    </row>
    <row r="30" spans="1:8" ht="19.5" customHeight="1" x14ac:dyDescent="0.25">
      <c r="A30" s="7" t="s">
        <v>109</v>
      </c>
      <c r="B30" s="19">
        <f t="shared" ref="B30:G30" si="6">IFERROR(B28/B7,0)</f>
        <v>0.16375000000000001</v>
      </c>
      <c r="C30" s="19">
        <f t="shared" si="6"/>
        <v>0.16666666666666666</v>
      </c>
      <c r="D30" s="19">
        <f t="shared" si="6"/>
        <v>0.16444444444444445</v>
      </c>
      <c r="E30" s="19">
        <f t="shared" si="6"/>
        <v>0.16124031007751938</v>
      </c>
      <c r="F30" s="19">
        <f t="shared" si="6"/>
        <v>0.15945945945945947</v>
      </c>
      <c r="G30" s="19">
        <f t="shared" si="6"/>
        <v>0.16058823529411764</v>
      </c>
      <c r="H30" s="5" t="s">
        <v>271</v>
      </c>
    </row>
    <row r="31" spans="1:8" ht="7.5" customHeight="1" x14ac:dyDescent="0.25">
      <c r="A31" s="36"/>
      <c r="B31" s="36"/>
      <c r="C31" s="36"/>
      <c r="D31" s="36"/>
      <c r="E31" s="36"/>
      <c r="F31" s="36"/>
      <c r="G31" s="36"/>
      <c r="H31" s="36"/>
    </row>
    <row r="32" spans="1:8" ht="21.75" customHeight="1" x14ac:dyDescent="0.25">
      <c r="A32" s="83" t="s">
        <v>272</v>
      </c>
      <c r="B32" s="83"/>
      <c r="C32" s="83"/>
      <c r="D32" s="83"/>
      <c r="E32" s="83"/>
      <c r="F32" s="83"/>
      <c r="G32" s="83"/>
      <c r="H32" s="83"/>
    </row>
    <row r="33" spans="1:8" ht="19.5" customHeight="1" x14ac:dyDescent="0.25">
      <c r="A33" s="31" t="s">
        <v>273</v>
      </c>
      <c r="B33" s="32">
        <v>28</v>
      </c>
      <c r="C33" s="32">
        <v>32</v>
      </c>
      <c r="D33" s="32">
        <v>38</v>
      </c>
      <c r="E33" s="33">
        <v>45</v>
      </c>
      <c r="F33" s="33">
        <v>52</v>
      </c>
      <c r="G33" s="33">
        <v>58</v>
      </c>
      <c r="H33" s="5" t="s">
        <v>274</v>
      </c>
    </row>
    <row r="34" spans="1:8" ht="19.5" customHeight="1" x14ac:dyDescent="0.25">
      <c r="A34" s="10" t="s">
        <v>275</v>
      </c>
      <c r="B34" s="38">
        <f t="shared" ref="B34:G34" si="7">B28-B33</f>
        <v>103</v>
      </c>
      <c r="C34" s="38">
        <f t="shared" si="7"/>
        <v>128</v>
      </c>
      <c r="D34" s="38">
        <f t="shared" si="7"/>
        <v>147</v>
      </c>
      <c r="E34" s="38">
        <f t="shared" si="7"/>
        <v>163</v>
      </c>
      <c r="F34" s="38">
        <f t="shared" si="7"/>
        <v>184</v>
      </c>
      <c r="G34" s="38">
        <f t="shared" si="7"/>
        <v>215</v>
      </c>
      <c r="H34" s="5"/>
    </row>
    <row r="35" spans="1:8" ht="7.5" customHeight="1" x14ac:dyDescent="0.25">
      <c r="A35" s="36"/>
      <c r="B35" s="36"/>
      <c r="C35" s="36"/>
      <c r="D35" s="36"/>
      <c r="E35" s="36"/>
      <c r="F35" s="36"/>
      <c r="G35" s="36"/>
      <c r="H35" s="36"/>
    </row>
    <row r="36" spans="1:8" ht="19.5" customHeight="1" x14ac:dyDescent="0.25">
      <c r="A36" s="31" t="s">
        <v>276</v>
      </c>
      <c r="B36" s="32">
        <v>3</v>
      </c>
      <c r="C36" s="32">
        <v>4</v>
      </c>
      <c r="D36" s="32">
        <v>5</v>
      </c>
      <c r="E36" s="33">
        <v>6</v>
      </c>
      <c r="F36" s="33">
        <v>7</v>
      </c>
      <c r="G36" s="33">
        <v>8</v>
      </c>
      <c r="H36" s="5" t="s">
        <v>277</v>
      </c>
    </row>
    <row r="37" spans="1:8" ht="19.5" customHeight="1" x14ac:dyDescent="0.25">
      <c r="A37" s="31" t="s">
        <v>278</v>
      </c>
      <c r="B37" s="32">
        <v>22</v>
      </c>
      <c r="C37" s="32">
        <v>26</v>
      </c>
      <c r="D37" s="32">
        <v>28</v>
      </c>
      <c r="E37" s="33">
        <v>26</v>
      </c>
      <c r="F37" s="33">
        <v>22</v>
      </c>
      <c r="G37" s="33">
        <v>15</v>
      </c>
      <c r="H37" s="5" t="s">
        <v>279</v>
      </c>
    </row>
    <row r="38" spans="1:8" ht="19.5" customHeight="1" x14ac:dyDescent="0.25">
      <c r="A38" s="31" t="s">
        <v>280</v>
      </c>
      <c r="B38" s="32">
        <v>17</v>
      </c>
      <c r="C38" s="32">
        <v>21</v>
      </c>
      <c r="D38" s="32">
        <v>24</v>
      </c>
      <c r="E38" s="33">
        <v>27</v>
      </c>
      <c r="F38" s="33">
        <v>30</v>
      </c>
      <c r="G38" s="33">
        <v>32</v>
      </c>
      <c r="H38" s="5"/>
    </row>
    <row r="39" spans="1:8" ht="19.5" customHeight="1" x14ac:dyDescent="0.25">
      <c r="A39" s="31" t="s">
        <v>281</v>
      </c>
      <c r="B39" s="32">
        <v>2</v>
      </c>
      <c r="C39" s="32">
        <v>2</v>
      </c>
      <c r="D39" s="32">
        <v>3</v>
      </c>
      <c r="E39" s="33">
        <v>3</v>
      </c>
      <c r="F39" s="33">
        <v>3</v>
      </c>
      <c r="G39" s="33">
        <v>4</v>
      </c>
      <c r="H39" s="5"/>
    </row>
    <row r="40" spans="1:8" ht="19.5" customHeight="1" x14ac:dyDescent="0.25">
      <c r="A40" s="37" t="s">
        <v>282</v>
      </c>
      <c r="B40" s="18">
        <f t="shared" ref="B40:G40" si="8">B37+B38+B39</f>
        <v>41</v>
      </c>
      <c r="C40" s="18">
        <f t="shared" si="8"/>
        <v>49</v>
      </c>
      <c r="D40" s="18">
        <f t="shared" si="8"/>
        <v>55</v>
      </c>
      <c r="E40" s="18">
        <f t="shared" si="8"/>
        <v>56</v>
      </c>
      <c r="F40" s="18">
        <f t="shared" si="8"/>
        <v>55</v>
      </c>
      <c r="G40" s="18">
        <f t="shared" si="8"/>
        <v>51</v>
      </c>
      <c r="H40" s="5"/>
    </row>
    <row r="41" spans="1:8" ht="7.5" customHeight="1" x14ac:dyDescent="0.25">
      <c r="A41" s="36"/>
      <c r="B41" s="36"/>
      <c r="C41" s="36"/>
      <c r="D41" s="36"/>
      <c r="E41" s="36"/>
      <c r="F41" s="36"/>
      <c r="G41" s="36"/>
      <c r="H41" s="36"/>
    </row>
    <row r="42" spans="1:8" ht="25.5" customHeight="1" x14ac:dyDescent="0.25">
      <c r="A42" s="48" t="s">
        <v>283</v>
      </c>
      <c r="B42" s="49">
        <f t="shared" ref="B42:G42" si="9">B34+B36-B40</f>
        <v>65</v>
      </c>
      <c r="C42" s="49">
        <f t="shared" si="9"/>
        <v>83</v>
      </c>
      <c r="D42" s="49">
        <f t="shared" si="9"/>
        <v>97</v>
      </c>
      <c r="E42" s="49">
        <f t="shared" si="9"/>
        <v>113</v>
      </c>
      <c r="F42" s="49">
        <f t="shared" si="9"/>
        <v>136</v>
      </c>
      <c r="G42" s="49">
        <f t="shared" si="9"/>
        <v>172</v>
      </c>
      <c r="H42" s="5" t="s">
        <v>284</v>
      </c>
    </row>
    <row r="43" spans="1:8" ht="7.5" customHeight="1" x14ac:dyDescent="0.25">
      <c r="A43" s="36"/>
      <c r="B43" s="36"/>
      <c r="C43" s="36"/>
      <c r="D43" s="36"/>
      <c r="E43" s="36"/>
      <c r="F43" s="36"/>
      <c r="G43" s="36"/>
      <c r="H43" s="36"/>
    </row>
    <row r="44" spans="1:8" ht="19.5" customHeight="1" x14ac:dyDescent="0.25">
      <c r="A44" s="31" t="s">
        <v>285</v>
      </c>
      <c r="B44" s="32">
        <v>16</v>
      </c>
      <c r="C44" s="32">
        <v>21</v>
      </c>
      <c r="D44" s="32">
        <v>24</v>
      </c>
      <c r="E44" s="33">
        <v>28</v>
      </c>
      <c r="F44" s="33">
        <v>34</v>
      </c>
      <c r="G44" s="33">
        <v>43</v>
      </c>
      <c r="H44" s="5"/>
    </row>
    <row r="45" spans="1:8" ht="19.5" customHeight="1" x14ac:dyDescent="0.25">
      <c r="A45" s="31" t="s">
        <v>286</v>
      </c>
      <c r="B45" s="32">
        <v>1</v>
      </c>
      <c r="C45" s="32">
        <v>1</v>
      </c>
      <c r="D45" s="32">
        <v>1</v>
      </c>
      <c r="E45" s="33">
        <v>1</v>
      </c>
      <c r="F45" s="33">
        <v>1</v>
      </c>
      <c r="G45" s="33">
        <v>1</v>
      </c>
      <c r="H45" s="5"/>
    </row>
    <row r="46" spans="1:8" ht="25.5" customHeight="1" x14ac:dyDescent="0.25">
      <c r="A46" s="50" t="s">
        <v>287</v>
      </c>
      <c r="B46" s="51">
        <f t="shared" ref="B46:G46" si="10">B42-B44-B45</f>
        <v>48</v>
      </c>
      <c r="C46" s="51">
        <f t="shared" si="10"/>
        <v>61</v>
      </c>
      <c r="D46" s="51">
        <f t="shared" si="10"/>
        <v>72</v>
      </c>
      <c r="E46" s="51">
        <f t="shared" si="10"/>
        <v>84</v>
      </c>
      <c r="F46" s="51">
        <f t="shared" si="10"/>
        <v>101</v>
      </c>
      <c r="G46" s="51">
        <f t="shared" si="10"/>
        <v>128</v>
      </c>
      <c r="H46" s="5" t="s">
        <v>288</v>
      </c>
    </row>
    <row r="47" spans="1:8" ht="7.5" customHeight="1" x14ac:dyDescent="0.25">
      <c r="A47" s="36"/>
      <c r="B47" s="36"/>
      <c r="C47" s="36"/>
      <c r="D47" s="36"/>
      <c r="E47" s="36"/>
      <c r="F47" s="36"/>
      <c r="G47" s="36"/>
      <c r="H47" s="36"/>
    </row>
    <row r="48" spans="1:8" ht="21.75" customHeight="1" x14ac:dyDescent="0.25">
      <c r="A48" s="83" t="s">
        <v>289</v>
      </c>
      <c r="B48" s="83"/>
      <c r="C48" s="83"/>
      <c r="D48" s="83"/>
      <c r="E48" s="83"/>
      <c r="F48" s="83"/>
      <c r="G48" s="83"/>
      <c r="H48" s="83"/>
    </row>
    <row r="49" spans="1:8" ht="19.5" customHeight="1" x14ac:dyDescent="0.25">
      <c r="A49" s="21" t="s">
        <v>290</v>
      </c>
      <c r="B49" s="22">
        <f t="shared" ref="B49:G49" si="11">B46+B33</f>
        <v>76</v>
      </c>
      <c r="C49" s="22">
        <f t="shared" si="11"/>
        <v>93</v>
      </c>
      <c r="D49" s="22">
        <f t="shared" si="11"/>
        <v>110</v>
      </c>
      <c r="E49" s="22">
        <f t="shared" si="11"/>
        <v>129</v>
      </c>
      <c r="F49" s="22">
        <f t="shared" si="11"/>
        <v>153</v>
      </c>
      <c r="G49" s="22">
        <f t="shared" si="11"/>
        <v>186</v>
      </c>
      <c r="H49" s="5" t="s">
        <v>291</v>
      </c>
    </row>
    <row r="51" spans="1:8" ht="19.5" customHeight="1" x14ac:dyDescent="0.25">
      <c r="A51" s="31" t="s">
        <v>292</v>
      </c>
      <c r="B51" s="32">
        <v>10</v>
      </c>
      <c r="C51" s="32">
        <v>10</v>
      </c>
      <c r="D51" s="32">
        <v>15</v>
      </c>
      <c r="E51" s="33">
        <v>20</v>
      </c>
      <c r="F51" s="33">
        <v>25</v>
      </c>
      <c r="G51" s="33">
        <v>30</v>
      </c>
      <c r="H51" s="5"/>
    </row>
    <row r="52" spans="1:8" ht="19.5" customHeight="1" x14ac:dyDescent="0.25">
      <c r="A52" s="7" t="s">
        <v>293</v>
      </c>
      <c r="B52" s="18">
        <f t="shared" ref="B52:G52" si="12">B49-B51</f>
        <v>66</v>
      </c>
      <c r="C52" s="18">
        <f t="shared" si="12"/>
        <v>83</v>
      </c>
      <c r="D52" s="18">
        <f t="shared" si="12"/>
        <v>95</v>
      </c>
      <c r="E52" s="18">
        <f t="shared" si="12"/>
        <v>109</v>
      </c>
      <c r="F52" s="18">
        <f t="shared" si="12"/>
        <v>128</v>
      </c>
      <c r="G52" s="18">
        <f t="shared" si="12"/>
        <v>156</v>
      </c>
      <c r="H52" s="5" t="s">
        <v>294</v>
      </c>
    </row>
  </sheetData>
  <mergeCells count="7">
    <mergeCell ref="A32:H32"/>
    <mergeCell ref="A48:H48"/>
    <mergeCell ref="A1:H1"/>
    <mergeCell ref="A2:H2"/>
    <mergeCell ref="A4:H4"/>
    <mergeCell ref="A9:H9"/>
    <mergeCell ref="A20:H20"/>
  </mergeCells>
  <pageMargins left="0.5" right="0.5" top="0.75" bottom="0.75" header="0.511811023622047" footer="0.511811023622047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B4F72"/>
  </sheetPr>
  <dimension ref="A1:H27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XFD1048576"/>
    </sheetView>
  </sheetViews>
  <sheetFormatPr defaultColWidth="8.7109375" defaultRowHeight="15" x14ac:dyDescent="0.25"/>
  <cols>
    <col min="1" max="1" width="36" style="1" customWidth="1"/>
    <col min="2" max="7" width="13" style="1" customWidth="1"/>
    <col min="8" max="8" width="28" style="1" customWidth="1"/>
    <col min="9" max="16384" width="8.7109375" style="1"/>
  </cols>
  <sheetData>
    <row r="1" spans="1:8" ht="30" customHeight="1" x14ac:dyDescent="0.25">
      <c r="A1" s="85" t="s">
        <v>295</v>
      </c>
      <c r="B1" s="85"/>
      <c r="C1" s="85"/>
      <c r="D1" s="85"/>
      <c r="E1" s="85"/>
      <c r="F1" s="85"/>
      <c r="G1" s="85"/>
      <c r="H1" s="85"/>
    </row>
    <row r="2" spans="1:8" ht="15" customHeight="1" x14ac:dyDescent="0.25">
      <c r="A2" s="86" t="s">
        <v>296</v>
      </c>
      <c r="B2" s="86"/>
      <c r="C2" s="86"/>
      <c r="D2" s="86"/>
      <c r="E2" s="86"/>
      <c r="F2" s="86"/>
      <c r="G2" s="86"/>
      <c r="H2" s="86"/>
    </row>
    <row r="3" spans="1:8" ht="27.75" customHeight="1" x14ac:dyDescent="0.25">
      <c r="A3" s="10" t="s">
        <v>103</v>
      </c>
      <c r="B3" s="28" t="str">
        <f>'⚙ SETUP'!C19</f>
        <v>2022-23 (Actual)</v>
      </c>
      <c r="C3" s="28" t="str">
        <f>'⚙ SETUP'!C20</f>
        <v>2023-24 (Actual)</v>
      </c>
      <c r="D3" s="29" t="str">
        <f>'⚙ SETUP'!C21</f>
        <v>2024-25 (Estimated)</v>
      </c>
      <c r="E3" s="30" t="str">
        <f>'⚙ SETUP'!C22</f>
        <v>2025-26 (Projected)</v>
      </c>
      <c r="F3" s="30" t="str">
        <f>'⚙ SETUP'!C23</f>
        <v>2026-27 (Projected)</v>
      </c>
      <c r="G3" s="30" t="str">
        <f>'⚙ SETUP'!C24</f>
        <v>2027-28 (Projected)</v>
      </c>
      <c r="H3" s="15" t="s">
        <v>297</v>
      </c>
    </row>
    <row r="4" spans="1:8" ht="21.75" customHeight="1" x14ac:dyDescent="0.25">
      <c r="A4" s="83" t="s">
        <v>298</v>
      </c>
      <c r="B4" s="83"/>
      <c r="C4" s="83"/>
      <c r="D4" s="83"/>
      <c r="E4" s="83"/>
      <c r="F4" s="83"/>
      <c r="G4" s="83"/>
      <c r="H4" s="83"/>
    </row>
    <row r="5" spans="1:8" ht="19.5" customHeight="1" x14ac:dyDescent="0.25">
      <c r="A5" s="7" t="s">
        <v>183</v>
      </c>
      <c r="B5" s="18">
        <f>'📊 FORM I — BALANCE SHEET'!B17</f>
        <v>68</v>
      </c>
      <c r="C5" s="18">
        <f>'📊 FORM I — BALANCE SHEET'!C17</f>
        <v>80</v>
      </c>
      <c r="D5" s="18">
        <f>'📊 FORM I — BALANCE SHEET'!D17</f>
        <v>94</v>
      </c>
      <c r="E5" s="18">
        <f>'📊 FORM I — BALANCE SHEET'!E17</f>
        <v>108</v>
      </c>
      <c r="F5" s="18">
        <f>'📊 FORM I — BALANCE SHEET'!F17</f>
        <v>125</v>
      </c>
      <c r="G5" s="18">
        <f>'📊 FORM I — BALANCE SHEET'!G17</f>
        <v>145</v>
      </c>
      <c r="H5" s="5" t="s">
        <v>126</v>
      </c>
    </row>
    <row r="6" spans="1:8" ht="18" customHeight="1" x14ac:dyDescent="0.25">
      <c r="A6" s="52" t="s">
        <v>299</v>
      </c>
      <c r="B6" s="53">
        <f>IFERROR(B5/'📋 FORM II — P&amp;L'!B10*365,0)</f>
        <v>51.708333333333329</v>
      </c>
      <c r="C6" s="53">
        <f>IFERROR(C5/'📋 FORM II — P&amp;L'!C10*365,0)</f>
        <v>50.69444444444445</v>
      </c>
      <c r="D6" s="53">
        <f>IFERROR(D5/'📋 FORM II — P&amp;L'!D10*365,0)</f>
        <v>50.829629629629629</v>
      </c>
      <c r="E6" s="53">
        <f>IFERROR(E5/'📋 FORM II — P&amp;L'!E10*365,0)</f>
        <v>50.930232558139537</v>
      </c>
      <c r="F6" s="53">
        <f>IFERROR(F5/'📋 FORM II — P&amp;L'!F10*365,0)</f>
        <v>51.37950450450451</v>
      </c>
      <c r="G6" s="53">
        <f>IFERROR(G5/'📋 FORM II — P&amp;L'!G10*365,0)</f>
        <v>51.88725490196078</v>
      </c>
      <c r="H6" s="5" t="s">
        <v>300</v>
      </c>
    </row>
    <row r="7" spans="1:8" ht="19.5" customHeight="1" x14ac:dyDescent="0.25">
      <c r="A7" s="7" t="s">
        <v>185</v>
      </c>
      <c r="B7" s="18">
        <f>'📊 FORM I — BALANCE SHEET'!B18</f>
        <v>18</v>
      </c>
      <c r="C7" s="18">
        <f>'📊 FORM I — BALANCE SHEET'!C18</f>
        <v>21</v>
      </c>
      <c r="D7" s="18">
        <f>'📊 FORM I — BALANCE SHEET'!D18</f>
        <v>25</v>
      </c>
      <c r="E7" s="18">
        <f>'📊 FORM I — BALANCE SHEET'!E18</f>
        <v>30</v>
      </c>
      <c r="F7" s="18">
        <f>'📊 FORM I — BALANCE SHEET'!F18</f>
        <v>35</v>
      </c>
      <c r="G7" s="18">
        <f>'📊 FORM I — BALANCE SHEET'!G18</f>
        <v>40</v>
      </c>
      <c r="H7" s="5" t="s">
        <v>126</v>
      </c>
    </row>
    <row r="8" spans="1:8" ht="18" customHeight="1" x14ac:dyDescent="0.25">
      <c r="A8" s="52" t="s">
        <v>301</v>
      </c>
      <c r="B8" s="53">
        <f>IFERROR(B7/'📋 FORM II — P&amp;L'!B18*365,0)</f>
        <v>11.060606060606061</v>
      </c>
      <c r="C8" s="53">
        <f>IFERROR(C7/'📋 FORM II — P&amp;L'!C18*365,0)</f>
        <v>10.795774647887324</v>
      </c>
      <c r="D8" s="53">
        <f>IFERROR(D7/'📋 FORM II — P&amp;L'!D18*365,0)</f>
        <v>10.928143712574851</v>
      </c>
      <c r="E8" s="53">
        <f>IFERROR(E7/'📋 FORM II — P&amp;L'!E18*365,0)</f>
        <v>11.40625</v>
      </c>
      <c r="F8" s="53">
        <f>IFERROR(F7/'📋 FORM II — P&amp;L'!F18*365,0)</f>
        <v>11.58204895738894</v>
      </c>
      <c r="G8" s="53">
        <f>IFERROR(G7/'📋 FORM II — P&amp;L'!G18*365,0)</f>
        <v>11.541501976284584</v>
      </c>
      <c r="H8" s="5"/>
    </row>
    <row r="9" spans="1:8" ht="19.5" customHeight="1" x14ac:dyDescent="0.25">
      <c r="A9" s="7" t="s">
        <v>186</v>
      </c>
      <c r="B9" s="18">
        <f>'📊 FORM I — BALANCE SHEET'!B19</f>
        <v>37</v>
      </c>
      <c r="C9" s="18">
        <f>'📊 FORM I — BALANCE SHEET'!C19</f>
        <v>49</v>
      </c>
      <c r="D9" s="18">
        <f>'📊 FORM I — BALANCE SHEET'!D19</f>
        <v>59</v>
      </c>
      <c r="E9" s="18">
        <f>'📊 FORM I — BALANCE SHEET'!E19</f>
        <v>68</v>
      </c>
      <c r="F9" s="18">
        <f>'📊 FORM I — BALANCE SHEET'!F19</f>
        <v>78</v>
      </c>
      <c r="G9" s="18">
        <f>'📊 FORM I — BALANCE SHEET'!G19</f>
        <v>92</v>
      </c>
      <c r="H9" s="5" t="s">
        <v>126</v>
      </c>
    </row>
    <row r="10" spans="1:8" ht="18" customHeight="1" x14ac:dyDescent="0.25">
      <c r="A10" s="52" t="s">
        <v>302</v>
      </c>
      <c r="B10" s="53">
        <f>IFERROR(B9/'📋 FORM II — P&amp;L'!B18*365,0)</f>
        <v>22.735690235690235</v>
      </c>
      <c r="C10" s="53">
        <f>IFERROR(C9/'📋 FORM II — P&amp;L'!C18*365,0)</f>
        <v>25.190140845070424</v>
      </c>
      <c r="D10" s="53">
        <f>IFERROR(D9/'📋 FORM II — P&amp;L'!D18*365,0)</f>
        <v>25.790419161676645</v>
      </c>
      <c r="E10" s="53">
        <f>IFERROR(E9/'📋 FORM II — P&amp;L'!E18*365,0)</f>
        <v>25.854166666666664</v>
      </c>
      <c r="F10" s="53">
        <f>IFERROR(F9/'📋 FORM II — P&amp;L'!F18*365,0)</f>
        <v>25.811423390752495</v>
      </c>
      <c r="G10" s="53">
        <f>IFERROR(G9/'📋 FORM II — P&amp;L'!G18*365,0)</f>
        <v>26.545454545454543</v>
      </c>
      <c r="H10" s="5"/>
    </row>
    <row r="11" spans="1:8" ht="19.5" customHeight="1" x14ac:dyDescent="0.25">
      <c r="A11" s="7" t="s">
        <v>187</v>
      </c>
      <c r="B11" s="18">
        <f>'📊 FORM I — BALANCE SHEET'!B20</f>
        <v>7</v>
      </c>
      <c r="C11" s="18">
        <f>'📊 FORM I — BALANCE SHEET'!C20</f>
        <v>8</v>
      </c>
      <c r="D11" s="18">
        <f>'📊 FORM I — BALANCE SHEET'!D20</f>
        <v>10</v>
      </c>
      <c r="E11" s="18">
        <f>'📊 FORM I — BALANCE SHEET'!E20</f>
        <v>12</v>
      </c>
      <c r="F11" s="18">
        <f>'📊 FORM I — BALANCE SHEET'!F20</f>
        <v>14</v>
      </c>
      <c r="G11" s="18">
        <f>'📊 FORM I — BALANCE SHEET'!G20</f>
        <v>16</v>
      </c>
      <c r="H11" s="5" t="s">
        <v>126</v>
      </c>
    </row>
    <row r="12" spans="1:8" ht="19.5" customHeight="1" x14ac:dyDescent="0.25">
      <c r="A12" s="7" t="s">
        <v>189</v>
      </c>
      <c r="B12" s="18">
        <f>'📊 FORM I — BALANCE SHEET'!B22</f>
        <v>108</v>
      </c>
      <c r="C12" s="18">
        <f>'📊 FORM I — BALANCE SHEET'!C22</f>
        <v>129</v>
      </c>
      <c r="D12" s="18">
        <f>'📊 FORM I — BALANCE SHEET'!D22</f>
        <v>152</v>
      </c>
      <c r="E12" s="18">
        <f>'📊 FORM I — BALANCE SHEET'!E22</f>
        <v>174</v>
      </c>
      <c r="F12" s="18">
        <f>'📊 FORM I — BALANCE SHEET'!F22</f>
        <v>202</v>
      </c>
      <c r="G12" s="18">
        <f>'📊 FORM I — BALANCE SHEET'!G22</f>
        <v>232</v>
      </c>
      <c r="H12" s="5" t="s">
        <v>303</v>
      </c>
    </row>
    <row r="13" spans="1:8" ht="18" customHeight="1" x14ac:dyDescent="0.25">
      <c r="A13" s="52" t="s">
        <v>304</v>
      </c>
      <c r="B13" s="53">
        <f>IFERROR(B12/'📋 FORM II — P&amp;L'!B7*365,0)</f>
        <v>49.275000000000006</v>
      </c>
      <c r="C13" s="53">
        <f>IFERROR(C12/'📋 FORM II — P&amp;L'!C7*365,0)</f>
        <v>49.046875</v>
      </c>
      <c r="D13" s="53">
        <f>IFERROR(D12/'📋 FORM II — P&amp;L'!D7*365,0)</f>
        <v>49.315555555555548</v>
      </c>
      <c r="E13" s="53">
        <f>IFERROR(E12/'📋 FORM II — P&amp;L'!E7*365,0)</f>
        <v>49.232558139534888</v>
      </c>
      <c r="F13" s="53">
        <f>IFERROR(F12/'📋 FORM II — P&amp;L'!F7*365,0)</f>
        <v>49.817567567567565</v>
      </c>
      <c r="G13" s="53">
        <f>IFERROR(G12/'📋 FORM II — P&amp;L'!G7*365,0)</f>
        <v>49.811764705882354</v>
      </c>
      <c r="H13" s="5" t="s">
        <v>305</v>
      </c>
    </row>
    <row r="14" spans="1:8" ht="19.5" customHeight="1" x14ac:dyDescent="0.25">
      <c r="A14" s="7" t="s">
        <v>306</v>
      </c>
      <c r="B14" s="18">
        <f>'📊 FORM I — BALANCE SHEET'!B24</f>
        <v>10</v>
      </c>
      <c r="C14" s="18">
        <f>'📊 FORM I — BALANCE SHEET'!C24</f>
        <v>12</v>
      </c>
      <c r="D14" s="18">
        <f>'📊 FORM I — BALANCE SHEET'!D24</f>
        <v>14</v>
      </c>
      <c r="E14" s="18">
        <f>'📊 FORM I — BALANCE SHEET'!E24</f>
        <v>16</v>
      </c>
      <c r="F14" s="18">
        <f>'📊 FORM I — BALANCE SHEET'!F24</f>
        <v>19</v>
      </c>
      <c r="G14" s="18">
        <f>'📊 FORM I — BALANCE SHEET'!G24</f>
        <v>22</v>
      </c>
      <c r="H14" s="5" t="s">
        <v>307</v>
      </c>
    </row>
    <row r="15" spans="1:8" ht="19.5" customHeight="1" x14ac:dyDescent="0.25">
      <c r="A15" s="7" t="s">
        <v>195</v>
      </c>
      <c r="B15" s="18">
        <f>'📊 FORM I — BALANCE SHEET'!B25</f>
        <v>11</v>
      </c>
      <c r="C15" s="18">
        <f>'📊 FORM I — BALANCE SHEET'!C25</f>
        <v>13</v>
      </c>
      <c r="D15" s="18">
        <f>'📊 FORM I — BALANCE SHEET'!D25</f>
        <v>15</v>
      </c>
      <c r="E15" s="18">
        <f>'📊 FORM I — BALANCE SHEET'!E25</f>
        <v>18</v>
      </c>
      <c r="F15" s="18">
        <f>'📊 FORM I — BALANCE SHEET'!F25</f>
        <v>21</v>
      </c>
      <c r="G15" s="18">
        <f>'📊 FORM I — BALANCE SHEET'!G25</f>
        <v>24</v>
      </c>
      <c r="H15" s="5" t="s">
        <v>308</v>
      </c>
    </row>
    <row r="16" spans="1:8" ht="19.5" customHeight="1" x14ac:dyDescent="0.25">
      <c r="A16" s="7" t="s">
        <v>191</v>
      </c>
      <c r="B16" s="18">
        <f>'📊 FORM I — BALANCE SHEET'!B23</f>
        <v>28</v>
      </c>
      <c r="C16" s="18">
        <f>'📊 FORM I — BALANCE SHEET'!C23</f>
        <v>33</v>
      </c>
      <c r="D16" s="18">
        <f>'📊 FORM I — BALANCE SHEET'!D23</f>
        <v>69</v>
      </c>
      <c r="E16" s="18">
        <f>'📊 FORM I — BALANCE SHEET'!E23</f>
        <v>62</v>
      </c>
      <c r="F16" s="18">
        <f>'📊 FORM I — BALANCE SHEET'!F23</f>
        <v>52</v>
      </c>
      <c r="G16" s="18">
        <f>'📊 FORM I — BALANCE SHEET'!G23</f>
        <v>52</v>
      </c>
      <c r="H16" s="5" t="s">
        <v>309</v>
      </c>
    </row>
    <row r="17" spans="1:8" ht="24" customHeight="1" x14ac:dyDescent="0.25">
      <c r="A17" s="34" t="s">
        <v>310</v>
      </c>
      <c r="B17" s="54">
        <f t="shared" ref="B17:G17" si="0">B5+B7+B9+B11+B12+B14+B15+B16</f>
        <v>287</v>
      </c>
      <c r="C17" s="54">
        <f t="shared" si="0"/>
        <v>345</v>
      </c>
      <c r="D17" s="54">
        <f t="shared" si="0"/>
        <v>438</v>
      </c>
      <c r="E17" s="54">
        <f t="shared" si="0"/>
        <v>488</v>
      </c>
      <c r="F17" s="54">
        <f t="shared" si="0"/>
        <v>546</v>
      </c>
      <c r="G17" s="54">
        <f t="shared" si="0"/>
        <v>623</v>
      </c>
      <c r="H17" s="5" t="s">
        <v>311</v>
      </c>
    </row>
    <row r="19" spans="1:8" ht="21.75" customHeight="1" x14ac:dyDescent="0.25">
      <c r="A19" s="83" t="s">
        <v>312</v>
      </c>
      <c r="B19" s="83"/>
      <c r="C19" s="83"/>
      <c r="D19" s="83"/>
      <c r="E19" s="83"/>
      <c r="F19" s="83"/>
      <c r="G19" s="83"/>
      <c r="H19" s="83"/>
    </row>
    <row r="20" spans="1:8" ht="19.5" customHeight="1" x14ac:dyDescent="0.25">
      <c r="A20" s="7" t="s">
        <v>221</v>
      </c>
      <c r="B20" s="18">
        <f>'📊 FORM I — BALANCE SHEET'!B47</f>
        <v>56</v>
      </c>
      <c r="C20" s="18">
        <f>'📊 FORM I — BALANCE SHEET'!C47</f>
        <v>68</v>
      </c>
      <c r="D20" s="18">
        <f>'📊 FORM I — BALANCE SHEET'!D47</f>
        <v>80</v>
      </c>
      <c r="E20" s="18">
        <f>'📊 FORM I — BALANCE SHEET'!E47</f>
        <v>93</v>
      </c>
      <c r="F20" s="18">
        <f>'📊 FORM I — BALANCE SHEET'!F47</f>
        <v>108</v>
      </c>
      <c r="G20" s="18">
        <f>'📊 FORM I — BALANCE SHEET'!G47</f>
        <v>124</v>
      </c>
      <c r="H20" s="5" t="s">
        <v>313</v>
      </c>
    </row>
    <row r="21" spans="1:8" ht="18" customHeight="1" x14ac:dyDescent="0.25">
      <c r="A21" s="52" t="s">
        <v>314</v>
      </c>
      <c r="B21" s="53">
        <f>IFERROR(B20/'📋 FORM II — P&amp;L'!B10*365,0)</f>
        <v>42.583333333333336</v>
      </c>
      <c r="C21" s="53">
        <f>IFERROR(C20/'📋 FORM II — P&amp;L'!C10*365,0)</f>
        <v>43.090277777777779</v>
      </c>
      <c r="D21" s="53">
        <f>IFERROR(D20/'📋 FORM II — P&amp;L'!D10*365,0)</f>
        <v>43.25925925925926</v>
      </c>
      <c r="E21" s="53">
        <f>IFERROR(E20/'📋 FORM II — P&amp;L'!E10*365,0)</f>
        <v>43.856589147286826</v>
      </c>
      <c r="F21" s="53">
        <f>IFERROR(F20/'📋 FORM II — P&amp;L'!F10*365,0)</f>
        <v>44.391891891891895</v>
      </c>
      <c r="G21" s="53">
        <f>IFERROR(G20/'📋 FORM II — P&amp;L'!G10*365,0)</f>
        <v>44.372549019607845</v>
      </c>
      <c r="H21" s="5" t="s">
        <v>315</v>
      </c>
    </row>
    <row r="22" spans="1:8" ht="19.5" customHeight="1" x14ac:dyDescent="0.25">
      <c r="A22" s="7" t="s">
        <v>223</v>
      </c>
      <c r="B22" s="18">
        <f>'📊 FORM I — BALANCE SHEET'!B48</f>
        <v>8</v>
      </c>
      <c r="C22" s="18">
        <f>'📊 FORM I — BALANCE SHEET'!C48</f>
        <v>10</v>
      </c>
      <c r="D22" s="18">
        <f>'📊 FORM I — BALANCE SHEET'!D48</f>
        <v>12</v>
      </c>
      <c r="E22" s="18">
        <f>'📊 FORM I — BALANCE SHEET'!E48</f>
        <v>14</v>
      </c>
      <c r="F22" s="18">
        <f>'📊 FORM I — BALANCE SHEET'!F48</f>
        <v>17</v>
      </c>
      <c r="G22" s="18">
        <f>'📊 FORM I — BALANCE SHEET'!G48</f>
        <v>20</v>
      </c>
      <c r="H22" s="5" t="s">
        <v>316</v>
      </c>
    </row>
    <row r="23" spans="1:8" ht="19.5" customHeight="1" x14ac:dyDescent="0.25">
      <c r="A23" s="7" t="s">
        <v>224</v>
      </c>
      <c r="B23" s="18">
        <f>'📊 FORM I — BALANCE SHEET'!B49</f>
        <v>14</v>
      </c>
      <c r="C23" s="18">
        <f>'📊 FORM I — BALANCE SHEET'!C49</f>
        <v>17</v>
      </c>
      <c r="D23" s="18">
        <f>'📊 FORM I — BALANCE SHEET'!D49</f>
        <v>20</v>
      </c>
      <c r="E23" s="18">
        <f>'📊 FORM I — BALANCE SHEET'!E49</f>
        <v>24</v>
      </c>
      <c r="F23" s="18">
        <f>'📊 FORM I — BALANCE SHEET'!F49</f>
        <v>28</v>
      </c>
      <c r="G23" s="18">
        <f>'📊 FORM I — BALANCE SHEET'!G49</f>
        <v>32</v>
      </c>
      <c r="H23" s="5" t="s">
        <v>317</v>
      </c>
    </row>
    <row r="24" spans="1:8" ht="19.5" customHeight="1" x14ac:dyDescent="0.25">
      <c r="A24" s="7" t="s">
        <v>225</v>
      </c>
      <c r="B24" s="18">
        <f>'📊 FORM I — BALANCE SHEET'!B50</f>
        <v>10</v>
      </c>
      <c r="C24" s="18">
        <f>'📊 FORM I — BALANCE SHEET'!C50</f>
        <v>13</v>
      </c>
      <c r="D24" s="18">
        <f>'📊 FORM I — BALANCE SHEET'!D50</f>
        <v>15</v>
      </c>
      <c r="E24" s="18">
        <f>'📊 FORM I — BALANCE SHEET'!E50</f>
        <v>18</v>
      </c>
      <c r="F24" s="18">
        <f>'📊 FORM I — BALANCE SHEET'!F50</f>
        <v>21</v>
      </c>
      <c r="G24" s="18">
        <f>'📊 FORM I — BALANCE SHEET'!G50</f>
        <v>24</v>
      </c>
      <c r="H24" s="5" t="s">
        <v>318</v>
      </c>
    </row>
    <row r="25" spans="1:8" ht="24" customHeight="1" x14ac:dyDescent="0.25">
      <c r="A25" s="34" t="s">
        <v>319</v>
      </c>
      <c r="B25" s="54">
        <f t="shared" ref="B25:G25" si="1">B20+B22+B23+B24</f>
        <v>88</v>
      </c>
      <c r="C25" s="54">
        <f t="shared" si="1"/>
        <v>108</v>
      </c>
      <c r="D25" s="54">
        <f t="shared" si="1"/>
        <v>127</v>
      </c>
      <c r="E25" s="54">
        <f t="shared" si="1"/>
        <v>149</v>
      </c>
      <c r="F25" s="54">
        <f t="shared" si="1"/>
        <v>174</v>
      </c>
      <c r="G25" s="54">
        <f t="shared" si="1"/>
        <v>200</v>
      </c>
      <c r="H25" s="5" t="s">
        <v>320</v>
      </c>
    </row>
    <row r="27" spans="1:8" ht="25.5" customHeight="1" x14ac:dyDescent="0.25">
      <c r="A27" s="46" t="s">
        <v>321</v>
      </c>
      <c r="B27" s="47">
        <f t="shared" ref="B27:G27" si="2">B17-B25</f>
        <v>199</v>
      </c>
      <c r="C27" s="47">
        <f t="shared" si="2"/>
        <v>237</v>
      </c>
      <c r="D27" s="47">
        <f t="shared" si="2"/>
        <v>311</v>
      </c>
      <c r="E27" s="47">
        <f t="shared" si="2"/>
        <v>339</v>
      </c>
      <c r="F27" s="47">
        <f t="shared" si="2"/>
        <v>372</v>
      </c>
      <c r="G27" s="47">
        <f t="shared" si="2"/>
        <v>423</v>
      </c>
      <c r="H27" s="5" t="s">
        <v>322</v>
      </c>
    </row>
  </sheetData>
  <mergeCells count="4">
    <mergeCell ref="A1:H1"/>
    <mergeCell ref="A2:H2"/>
    <mergeCell ref="A4:H4"/>
    <mergeCell ref="A19:H19"/>
  </mergeCells>
  <pageMargins left="0.5" right="0.5" top="0.75" bottom="0.75" header="0.511811023622047" footer="0.511811023622047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D4AC0D"/>
  </sheetPr>
  <dimension ref="A1:H28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:H2"/>
    </sheetView>
  </sheetViews>
  <sheetFormatPr defaultColWidth="8.7109375" defaultRowHeight="15" x14ac:dyDescent="0.25"/>
  <cols>
    <col min="1" max="1" width="42" style="1" customWidth="1"/>
    <col min="2" max="7" width="13" style="1" customWidth="1"/>
    <col min="8" max="8" width="32" style="1" customWidth="1"/>
    <col min="9" max="16384" width="8.7109375" style="1"/>
  </cols>
  <sheetData>
    <row r="1" spans="1:8" ht="30" customHeight="1" x14ac:dyDescent="0.25">
      <c r="A1" s="85" t="s">
        <v>323</v>
      </c>
      <c r="B1" s="85"/>
      <c r="C1" s="85"/>
      <c r="D1" s="85"/>
      <c r="E1" s="85"/>
      <c r="F1" s="85"/>
      <c r="G1" s="85"/>
      <c r="H1" s="85"/>
    </row>
    <row r="2" spans="1:8" ht="36.75" customHeight="1" x14ac:dyDescent="0.25">
      <c r="A2" s="93" t="s">
        <v>324</v>
      </c>
      <c r="B2" s="93"/>
      <c r="C2" s="93"/>
      <c r="D2" s="93"/>
      <c r="E2" s="93"/>
      <c r="F2" s="93"/>
      <c r="G2" s="93"/>
      <c r="H2" s="93"/>
    </row>
    <row r="3" spans="1:8" ht="27.75" customHeight="1" x14ac:dyDescent="0.25">
      <c r="A3" s="10" t="s">
        <v>103</v>
      </c>
      <c r="B3" s="28" t="str">
        <f>'⚙ SETUP'!C19</f>
        <v>2022-23 (Actual)</v>
      </c>
      <c r="C3" s="28" t="str">
        <f>'⚙ SETUP'!C20</f>
        <v>2023-24 (Actual)</v>
      </c>
      <c r="D3" s="29" t="str">
        <f>'⚙ SETUP'!C21</f>
        <v>2024-25 (Estimated)</v>
      </c>
      <c r="E3" s="30" t="str">
        <f>'⚙ SETUP'!C22</f>
        <v>2025-26 (Projected)</v>
      </c>
      <c r="F3" s="30" t="str">
        <f>'⚙ SETUP'!C23</f>
        <v>2026-27 (Projected)</v>
      </c>
      <c r="G3" s="30" t="str">
        <f>'⚙ SETUP'!C24</f>
        <v>2027-28 (Projected)</v>
      </c>
      <c r="H3" s="15" t="s">
        <v>297</v>
      </c>
    </row>
    <row r="4" spans="1:8" ht="21.75" customHeight="1" x14ac:dyDescent="0.25">
      <c r="A4" s="84" t="s">
        <v>325</v>
      </c>
      <c r="B4" s="84"/>
      <c r="C4" s="84"/>
      <c r="D4" s="84"/>
      <c r="E4" s="84"/>
      <c r="F4" s="84"/>
      <c r="G4" s="84"/>
      <c r="H4" s="84"/>
    </row>
    <row r="5" spans="1:8" ht="21.75" customHeight="1" x14ac:dyDescent="0.25">
      <c r="A5" s="55" t="s">
        <v>326</v>
      </c>
      <c r="B5" s="56">
        <f>'📦 FORM III — CA &amp; CL'!B17</f>
        <v>287</v>
      </c>
      <c r="C5" s="56">
        <f>'📦 FORM III — CA &amp; CL'!C17</f>
        <v>345</v>
      </c>
      <c r="D5" s="56">
        <f>'📦 FORM III — CA &amp; CL'!D17</f>
        <v>438</v>
      </c>
      <c r="E5" s="56">
        <f>'📦 FORM III — CA &amp; CL'!E17</f>
        <v>488</v>
      </c>
      <c r="F5" s="56">
        <f>'📦 FORM III — CA &amp; CL'!F17</f>
        <v>546</v>
      </c>
      <c r="G5" s="56">
        <f>'📦 FORM III — CA &amp; CL'!G17</f>
        <v>623</v>
      </c>
      <c r="H5" s="5" t="s">
        <v>327</v>
      </c>
    </row>
    <row r="6" spans="1:8" ht="21.75" customHeight="1" x14ac:dyDescent="0.25">
      <c r="A6" s="55" t="s">
        <v>328</v>
      </c>
      <c r="B6" s="56">
        <f>'📦 FORM III — CA &amp; CL'!B25</f>
        <v>88</v>
      </c>
      <c r="C6" s="56">
        <f>'📦 FORM III — CA &amp; CL'!C25</f>
        <v>108</v>
      </c>
      <c r="D6" s="56">
        <f>'📦 FORM III — CA &amp; CL'!D25</f>
        <v>127</v>
      </c>
      <c r="E6" s="56">
        <f>'📦 FORM III — CA &amp; CL'!E25</f>
        <v>149</v>
      </c>
      <c r="F6" s="56">
        <f>'📦 FORM III — CA &amp; CL'!F25</f>
        <v>174</v>
      </c>
      <c r="G6" s="56">
        <f>'📦 FORM III — CA &amp; CL'!G25</f>
        <v>200</v>
      </c>
      <c r="H6" s="5" t="s">
        <v>329</v>
      </c>
    </row>
    <row r="7" spans="1:8" ht="24" customHeight="1" x14ac:dyDescent="0.25">
      <c r="A7" s="57" t="s">
        <v>330</v>
      </c>
      <c r="B7" s="58">
        <f t="shared" ref="B7:G7" si="0">B5-B6</f>
        <v>199</v>
      </c>
      <c r="C7" s="58">
        <f t="shared" si="0"/>
        <v>237</v>
      </c>
      <c r="D7" s="58">
        <f t="shared" si="0"/>
        <v>311</v>
      </c>
      <c r="E7" s="58">
        <f t="shared" si="0"/>
        <v>339</v>
      </c>
      <c r="F7" s="58">
        <f t="shared" si="0"/>
        <v>372</v>
      </c>
      <c r="G7" s="58">
        <f t="shared" si="0"/>
        <v>423</v>
      </c>
      <c r="H7" s="5" t="s">
        <v>331</v>
      </c>
    </row>
    <row r="9" spans="1:8" ht="21.75" customHeight="1" x14ac:dyDescent="0.25">
      <c r="A9" s="94" t="s">
        <v>332</v>
      </c>
      <c r="B9" s="94"/>
      <c r="C9" s="94"/>
      <c r="D9" s="94"/>
      <c r="E9" s="94"/>
      <c r="F9" s="94"/>
      <c r="G9" s="94"/>
      <c r="H9" s="94"/>
    </row>
    <row r="10" spans="1:8" ht="15.75" customHeight="1" x14ac:dyDescent="0.25">
      <c r="A10" s="86" t="s">
        <v>333</v>
      </c>
      <c r="B10" s="86"/>
      <c r="C10" s="86"/>
      <c r="D10" s="86"/>
      <c r="E10" s="86"/>
      <c r="F10" s="86"/>
      <c r="G10" s="86"/>
      <c r="H10" s="86"/>
    </row>
    <row r="11" spans="1:8" ht="24" customHeight="1" x14ac:dyDescent="0.25">
      <c r="A11" s="59" t="s">
        <v>334</v>
      </c>
      <c r="B11" s="60">
        <f t="shared" ref="B11:G11" si="1">0.75*B7</f>
        <v>149.25</v>
      </c>
      <c r="C11" s="60">
        <f t="shared" si="1"/>
        <v>177.75</v>
      </c>
      <c r="D11" s="60">
        <f t="shared" si="1"/>
        <v>233.25</v>
      </c>
      <c r="E11" s="60">
        <f t="shared" si="1"/>
        <v>254.25</v>
      </c>
      <c r="F11" s="60">
        <f t="shared" si="1"/>
        <v>279</v>
      </c>
      <c r="G11" s="60">
        <f t="shared" si="1"/>
        <v>317.25</v>
      </c>
      <c r="H11" s="5" t="s">
        <v>335</v>
      </c>
    </row>
    <row r="12" spans="1:8" ht="19.5" customHeight="1" x14ac:dyDescent="0.25">
      <c r="A12" s="37" t="s">
        <v>336</v>
      </c>
      <c r="B12" s="18">
        <f t="shared" ref="B12:G12" si="2">0.25*B7</f>
        <v>49.75</v>
      </c>
      <c r="C12" s="18">
        <f t="shared" si="2"/>
        <v>59.25</v>
      </c>
      <c r="D12" s="18">
        <f t="shared" si="2"/>
        <v>77.75</v>
      </c>
      <c r="E12" s="18">
        <f t="shared" si="2"/>
        <v>84.75</v>
      </c>
      <c r="F12" s="18">
        <f t="shared" si="2"/>
        <v>93</v>
      </c>
      <c r="G12" s="18">
        <f t="shared" si="2"/>
        <v>105.75</v>
      </c>
      <c r="H12" s="5" t="s">
        <v>337</v>
      </c>
    </row>
    <row r="13" spans="1:8" ht="31.5" customHeight="1" x14ac:dyDescent="0.25">
      <c r="A13" s="37" t="s">
        <v>338</v>
      </c>
      <c r="B13" s="26">
        <f t="shared" ref="B13:G13" si="3">IFERROR(B5/(B11+B6),0)</f>
        <v>1.2096944151738673</v>
      </c>
      <c r="C13" s="26">
        <f t="shared" si="3"/>
        <v>1.2073490813648293</v>
      </c>
      <c r="D13" s="26">
        <f t="shared" si="3"/>
        <v>1.2158223455933379</v>
      </c>
      <c r="E13" s="26">
        <f t="shared" si="3"/>
        <v>1.2101673899566026</v>
      </c>
      <c r="F13" s="26">
        <f t="shared" si="3"/>
        <v>1.2052980132450331</v>
      </c>
      <c r="G13" s="26">
        <f t="shared" si="3"/>
        <v>1.2044465925567907</v>
      </c>
      <c r="H13" s="61" t="s">
        <v>339</v>
      </c>
    </row>
    <row r="15" spans="1:8" ht="21.75" customHeight="1" x14ac:dyDescent="0.25">
      <c r="A15" s="83" t="s">
        <v>340</v>
      </c>
      <c r="B15" s="83"/>
      <c r="C15" s="83"/>
      <c r="D15" s="83"/>
      <c r="E15" s="83"/>
      <c r="F15" s="83"/>
      <c r="G15" s="83"/>
      <c r="H15" s="83"/>
    </row>
    <row r="16" spans="1:8" ht="18" customHeight="1" x14ac:dyDescent="0.25">
      <c r="A16" s="86" t="s">
        <v>341</v>
      </c>
      <c r="B16" s="86"/>
      <c r="C16" s="86"/>
      <c r="D16" s="86"/>
      <c r="E16" s="86"/>
      <c r="F16" s="86"/>
      <c r="G16" s="86"/>
      <c r="H16" s="86"/>
    </row>
    <row r="17" spans="1:8" ht="19.5" customHeight="1" x14ac:dyDescent="0.25">
      <c r="A17" s="37" t="s">
        <v>342</v>
      </c>
      <c r="B17" s="18">
        <f t="shared" ref="B17:G17" si="4">0.75*B5</f>
        <v>215.25</v>
      </c>
      <c r="C17" s="18">
        <f t="shared" si="4"/>
        <v>258.75</v>
      </c>
      <c r="D17" s="18">
        <f t="shared" si="4"/>
        <v>328.5</v>
      </c>
      <c r="E17" s="18">
        <f t="shared" si="4"/>
        <v>366</v>
      </c>
      <c r="F17" s="18">
        <f t="shared" si="4"/>
        <v>409.5</v>
      </c>
      <c r="G17" s="18">
        <f t="shared" si="4"/>
        <v>467.25</v>
      </c>
    </row>
    <row r="18" spans="1:8" ht="19.5" customHeight="1" x14ac:dyDescent="0.25">
      <c r="A18" s="37" t="s">
        <v>343</v>
      </c>
      <c r="B18" s="18">
        <f t="shared" ref="B18:G18" si="5">B6</f>
        <v>88</v>
      </c>
      <c r="C18" s="18">
        <f t="shared" si="5"/>
        <v>108</v>
      </c>
      <c r="D18" s="18">
        <f t="shared" si="5"/>
        <v>127</v>
      </c>
      <c r="E18" s="18">
        <f t="shared" si="5"/>
        <v>149</v>
      </c>
      <c r="F18" s="18">
        <f t="shared" si="5"/>
        <v>174</v>
      </c>
      <c r="G18" s="18">
        <f t="shared" si="5"/>
        <v>200</v>
      </c>
    </row>
    <row r="19" spans="1:8" ht="36" customHeight="1" x14ac:dyDescent="0.25">
      <c r="A19" s="50" t="s">
        <v>344</v>
      </c>
      <c r="B19" s="51">
        <f t="shared" ref="B19:G19" si="6">B17-B18</f>
        <v>127.25</v>
      </c>
      <c r="C19" s="51">
        <f t="shared" si="6"/>
        <v>150.75</v>
      </c>
      <c r="D19" s="51">
        <f t="shared" si="6"/>
        <v>201.5</v>
      </c>
      <c r="E19" s="51">
        <f t="shared" si="6"/>
        <v>217</v>
      </c>
      <c r="F19" s="51">
        <f t="shared" si="6"/>
        <v>235.5</v>
      </c>
      <c r="G19" s="51">
        <f t="shared" si="6"/>
        <v>267.25</v>
      </c>
      <c r="H19" s="62" t="s">
        <v>345</v>
      </c>
    </row>
    <row r="20" spans="1:8" ht="19.5" customHeight="1" x14ac:dyDescent="0.25">
      <c r="A20" s="37" t="s">
        <v>346</v>
      </c>
      <c r="B20" s="18">
        <f t="shared" ref="B20:G20" si="7">0.25*B5</f>
        <v>71.75</v>
      </c>
      <c r="C20" s="18">
        <f t="shared" si="7"/>
        <v>86.25</v>
      </c>
      <c r="D20" s="18">
        <f t="shared" si="7"/>
        <v>109.5</v>
      </c>
      <c r="E20" s="18">
        <f t="shared" si="7"/>
        <v>122</v>
      </c>
      <c r="F20" s="18">
        <f t="shared" si="7"/>
        <v>136.5</v>
      </c>
      <c r="G20" s="18">
        <f t="shared" si="7"/>
        <v>155.75</v>
      </c>
    </row>
    <row r="21" spans="1:8" ht="19.5" customHeight="1" x14ac:dyDescent="0.25">
      <c r="A21" s="37" t="s">
        <v>347</v>
      </c>
      <c r="B21" s="26">
        <f t="shared" ref="B21:G21" si="8">IFERROR(B5/(B19+B6),0)</f>
        <v>1.3333333333333333</v>
      </c>
      <c r="C21" s="26">
        <f t="shared" si="8"/>
        <v>1.3333333333333333</v>
      </c>
      <c r="D21" s="26">
        <f t="shared" si="8"/>
        <v>1.3333333333333333</v>
      </c>
      <c r="E21" s="26">
        <f t="shared" si="8"/>
        <v>1.3333333333333333</v>
      </c>
      <c r="F21" s="26">
        <f t="shared" si="8"/>
        <v>1.3333333333333333</v>
      </c>
      <c r="G21" s="26">
        <f t="shared" si="8"/>
        <v>1.3333333333333333</v>
      </c>
      <c r="H21" s="5" t="s">
        <v>348</v>
      </c>
    </row>
    <row r="23" spans="1:8" ht="21.75" customHeight="1" x14ac:dyDescent="0.25">
      <c r="A23" s="84" t="s">
        <v>349</v>
      </c>
      <c r="B23" s="84"/>
      <c r="C23" s="84"/>
      <c r="D23" s="84"/>
      <c r="E23" s="84"/>
      <c r="F23" s="84"/>
      <c r="G23" s="84"/>
      <c r="H23" s="84"/>
    </row>
    <row r="24" spans="1:8" ht="19.5" customHeight="1" x14ac:dyDescent="0.25">
      <c r="A24" s="55" t="s">
        <v>350</v>
      </c>
      <c r="B24" s="56">
        <f>'📊 FORM I — BALANCE SHEET'!B46</f>
        <v>160</v>
      </c>
      <c r="C24" s="56">
        <f>'📊 FORM I — BALANCE SHEET'!C46</f>
        <v>185</v>
      </c>
      <c r="D24" s="56">
        <f>'📊 FORM I — BALANCE SHEET'!D46</f>
        <v>205</v>
      </c>
      <c r="E24" s="56">
        <f>'📊 FORM I — BALANCE SHEET'!E46</f>
        <v>225</v>
      </c>
      <c r="F24" s="56">
        <f>'📊 FORM I — BALANCE SHEET'!F46</f>
        <v>245</v>
      </c>
      <c r="G24" s="56">
        <f>'📊 FORM I — BALANCE SHEET'!G46</f>
        <v>260</v>
      </c>
      <c r="H24" s="5" t="s">
        <v>351</v>
      </c>
    </row>
    <row r="25" spans="1:8" ht="19.5" customHeight="1" x14ac:dyDescent="0.25">
      <c r="A25" s="37" t="s">
        <v>352</v>
      </c>
      <c r="B25" s="41" t="str">
        <f t="shared" ref="B25:G25" si="9">IF(B24&lt;=B11,"✅ Within MPBF","⚠ Exceeds MPBF by "&amp;TEXT(B24-B11,"#,##0"))</f>
        <v>⚠ Exceeds MPBF by 11</v>
      </c>
      <c r="C25" s="41" t="str">
        <f t="shared" si="9"/>
        <v>⚠ Exceeds MPBF by 7</v>
      </c>
      <c r="D25" s="41" t="str">
        <f t="shared" si="9"/>
        <v>✅ Within MPBF</v>
      </c>
      <c r="E25" s="41" t="str">
        <f t="shared" si="9"/>
        <v>✅ Within MPBF</v>
      </c>
      <c r="F25" s="41" t="str">
        <f t="shared" si="9"/>
        <v>✅ Within MPBF</v>
      </c>
      <c r="G25" s="41" t="str">
        <f t="shared" si="9"/>
        <v>✅ Within MPBF</v>
      </c>
    </row>
    <row r="26" spans="1:8" ht="19.5" customHeight="1" x14ac:dyDescent="0.25">
      <c r="A26" s="37" t="s">
        <v>353</v>
      </c>
      <c r="B26" s="41" t="str">
        <f t="shared" ref="B26:G26" si="10">IF(B24&lt;=B19,"✅ Within MPBF","⚠ Exceeds MPBF by "&amp;TEXT(B24-B19,"#,##0"))</f>
        <v>⚠ Exceeds MPBF by 33</v>
      </c>
      <c r="C26" s="41" t="str">
        <f t="shared" si="10"/>
        <v>⚠ Exceeds MPBF by 34</v>
      </c>
      <c r="D26" s="41" t="str">
        <f t="shared" si="10"/>
        <v>⚠ Exceeds MPBF by 4</v>
      </c>
      <c r="E26" s="41" t="str">
        <f t="shared" si="10"/>
        <v>⚠ Exceeds MPBF by 8</v>
      </c>
      <c r="F26" s="41" t="str">
        <f t="shared" si="10"/>
        <v>⚠ Exceeds MPBF by 10</v>
      </c>
      <c r="G26" s="41" t="str">
        <f t="shared" si="10"/>
        <v>✅ Within MPBF</v>
      </c>
    </row>
    <row r="28" spans="1:8" ht="36" customHeight="1" x14ac:dyDescent="0.25">
      <c r="A28" s="81" t="s">
        <v>354</v>
      </c>
      <c r="B28" s="81"/>
      <c r="C28" s="81"/>
      <c r="D28" s="81"/>
      <c r="E28" s="81"/>
      <c r="F28" s="81"/>
      <c r="G28" s="81"/>
      <c r="H28" s="81"/>
    </row>
  </sheetData>
  <mergeCells count="9">
    <mergeCell ref="A15:H15"/>
    <mergeCell ref="A16:H16"/>
    <mergeCell ref="A23:H23"/>
    <mergeCell ref="A28:H28"/>
    <mergeCell ref="A1:H1"/>
    <mergeCell ref="A2:H2"/>
    <mergeCell ref="A4:H4"/>
    <mergeCell ref="A9:H9"/>
    <mergeCell ref="A10:H10"/>
  </mergeCells>
  <pageMargins left="0.5" right="0.5" top="0.75" bottom="0.75" header="0.511811023622047" footer="0.511811023622047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17A65"/>
  </sheetPr>
  <dimension ref="A1:H20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XFD1048576"/>
    </sheetView>
  </sheetViews>
  <sheetFormatPr defaultColWidth="8.7109375" defaultRowHeight="15" x14ac:dyDescent="0.25"/>
  <cols>
    <col min="1" max="1" width="40" style="1" customWidth="1"/>
    <col min="2" max="7" width="13" style="1" customWidth="1"/>
    <col min="8" max="8" width="28" style="1" customWidth="1"/>
    <col min="9" max="16384" width="8.7109375" style="1"/>
  </cols>
  <sheetData>
    <row r="1" spans="1:8" ht="30" customHeight="1" x14ac:dyDescent="0.25">
      <c r="A1" s="85" t="s">
        <v>355</v>
      </c>
      <c r="B1" s="85"/>
      <c r="C1" s="85"/>
      <c r="D1" s="85"/>
      <c r="E1" s="85"/>
      <c r="F1" s="85"/>
      <c r="G1" s="85"/>
      <c r="H1" s="85"/>
    </row>
    <row r="2" spans="1:8" ht="15" customHeight="1" x14ac:dyDescent="0.25">
      <c r="A2" s="86" t="s">
        <v>356</v>
      </c>
      <c r="B2" s="86"/>
      <c r="C2" s="86"/>
      <c r="D2" s="86"/>
      <c r="E2" s="86"/>
      <c r="F2" s="86"/>
      <c r="G2" s="86"/>
      <c r="H2" s="86"/>
    </row>
    <row r="3" spans="1:8" ht="27.75" customHeight="1" x14ac:dyDescent="0.25">
      <c r="A3" s="10" t="s">
        <v>103</v>
      </c>
      <c r="B3" s="28" t="str">
        <f>'⚙ SETUP'!C19</f>
        <v>2022-23 (Actual)</v>
      </c>
      <c r="C3" s="28" t="str">
        <f>'⚙ SETUP'!C20</f>
        <v>2023-24 (Actual)</v>
      </c>
      <c r="D3" s="29" t="str">
        <f>'⚙ SETUP'!C21</f>
        <v>2024-25 (Estimated)</v>
      </c>
      <c r="E3" s="30" t="str">
        <f>'⚙ SETUP'!C22</f>
        <v>2025-26 (Projected)</v>
      </c>
      <c r="F3" s="30" t="str">
        <f>'⚙ SETUP'!C23</f>
        <v>2026-27 (Projected)</v>
      </c>
      <c r="G3" s="30" t="str">
        <f>'⚙ SETUP'!C24</f>
        <v>2027-28 (Projected)</v>
      </c>
      <c r="H3" s="15" t="s">
        <v>297</v>
      </c>
    </row>
    <row r="4" spans="1:8" ht="21.75" customHeight="1" x14ac:dyDescent="0.25">
      <c r="A4" s="83" t="s">
        <v>357</v>
      </c>
      <c r="B4" s="83"/>
      <c r="C4" s="83"/>
      <c r="D4" s="83"/>
      <c r="E4" s="83"/>
      <c r="F4" s="83"/>
      <c r="G4" s="83"/>
      <c r="H4" s="83"/>
    </row>
    <row r="5" spans="1:8" ht="19.5" customHeight="1" x14ac:dyDescent="0.25">
      <c r="A5" s="37" t="s">
        <v>358</v>
      </c>
      <c r="B5" s="18">
        <f>'📋 FORM II — P&amp;L'!B46</f>
        <v>48</v>
      </c>
      <c r="C5" s="18">
        <f>'📋 FORM II — P&amp;L'!C46</f>
        <v>61</v>
      </c>
      <c r="D5" s="18">
        <f>'📋 FORM II — P&amp;L'!D46</f>
        <v>72</v>
      </c>
      <c r="E5" s="18">
        <f>'📋 FORM II — P&amp;L'!E46</f>
        <v>84</v>
      </c>
      <c r="F5" s="18">
        <f>'📋 FORM II — P&amp;L'!F46</f>
        <v>101</v>
      </c>
      <c r="G5" s="18">
        <f>'📋 FORM II — P&amp;L'!G46</f>
        <v>128</v>
      </c>
      <c r="H5" s="5" t="s">
        <v>359</v>
      </c>
    </row>
    <row r="6" spans="1:8" ht="19.5" customHeight="1" x14ac:dyDescent="0.25">
      <c r="A6" s="37" t="s">
        <v>360</v>
      </c>
      <c r="B6" s="18">
        <f>'📋 FORM II — P&amp;L'!B33</f>
        <v>28</v>
      </c>
      <c r="C6" s="18">
        <f>'📋 FORM II — P&amp;L'!C33</f>
        <v>32</v>
      </c>
      <c r="D6" s="18">
        <f>'📋 FORM II — P&amp;L'!D33</f>
        <v>38</v>
      </c>
      <c r="E6" s="18">
        <f>'📋 FORM II — P&amp;L'!E33</f>
        <v>45</v>
      </c>
      <c r="F6" s="18">
        <f>'📋 FORM II — P&amp;L'!F33</f>
        <v>52</v>
      </c>
      <c r="G6" s="18">
        <f>'📋 FORM II — P&amp;L'!G33</f>
        <v>58</v>
      </c>
      <c r="H6" s="5" t="s">
        <v>361</v>
      </c>
    </row>
    <row r="7" spans="1:8" ht="21.75" customHeight="1" x14ac:dyDescent="0.25">
      <c r="A7" s="63" t="s">
        <v>362</v>
      </c>
      <c r="B7" s="22">
        <f t="shared" ref="B7:G7" si="0">B5+B6</f>
        <v>76</v>
      </c>
      <c r="C7" s="22">
        <f t="shared" si="0"/>
        <v>93</v>
      </c>
      <c r="D7" s="22">
        <f t="shared" si="0"/>
        <v>110</v>
      </c>
      <c r="E7" s="22">
        <f t="shared" si="0"/>
        <v>129</v>
      </c>
      <c r="F7" s="22">
        <f t="shared" si="0"/>
        <v>153</v>
      </c>
      <c r="G7" s="22">
        <f t="shared" si="0"/>
        <v>186</v>
      </c>
    </row>
    <row r="8" spans="1:8" ht="19.5" customHeight="1" x14ac:dyDescent="0.25">
      <c r="A8" s="37" t="s">
        <v>363</v>
      </c>
      <c r="B8" s="32">
        <v>0</v>
      </c>
      <c r="C8" s="32">
        <v>0</v>
      </c>
      <c r="D8" s="32">
        <v>50</v>
      </c>
      <c r="E8" s="32">
        <v>0</v>
      </c>
      <c r="F8" s="32">
        <v>0</v>
      </c>
      <c r="G8" s="32">
        <v>0</v>
      </c>
      <c r="H8" s="5" t="s">
        <v>364</v>
      </c>
    </row>
    <row r="9" spans="1:8" ht="19.5" customHeight="1" x14ac:dyDescent="0.25">
      <c r="A9" s="37" t="s">
        <v>365</v>
      </c>
      <c r="B9" s="32">
        <v>0</v>
      </c>
      <c r="C9" s="32">
        <v>120</v>
      </c>
      <c r="D9" s="32">
        <v>0</v>
      </c>
      <c r="E9" s="32">
        <v>0</v>
      </c>
      <c r="F9" s="32">
        <v>0</v>
      </c>
      <c r="G9" s="32">
        <v>0</v>
      </c>
      <c r="H9" s="5" t="s">
        <v>366</v>
      </c>
    </row>
    <row r="10" spans="1:8" ht="19.5" customHeight="1" x14ac:dyDescent="0.25">
      <c r="A10" s="37" t="s">
        <v>367</v>
      </c>
      <c r="B10" s="32"/>
      <c r="C10" s="32"/>
      <c r="D10" s="32"/>
      <c r="E10" s="32"/>
      <c r="F10" s="32"/>
      <c r="G10" s="32"/>
    </row>
    <row r="11" spans="1:8" ht="24" customHeight="1" x14ac:dyDescent="0.25">
      <c r="A11" s="64" t="s">
        <v>368</v>
      </c>
      <c r="B11" s="65">
        <f t="shared" ref="B11:G11" si="1">IFERROR(B7+B8+B9+B10,0)</f>
        <v>76</v>
      </c>
      <c r="C11" s="65">
        <f t="shared" si="1"/>
        <v>213</v>
      </c>
      <c r="D11" s="65">
        <f t="shared" si="1"/>
        <v>160</v>
      </c>
      <c r="E11" s="65">
        <f t="shared" si="1"/>
        <v>129</v>
      </c>
      <c r="F11" s="65">
        <f t="shared" si="1"/>
        <v>153</v>
      </c>
      <c r="G11" s="65">
        <f t="shared" si="1"/>
        <v>186</v>
      </c>
    </row>
    <row r="13" spans="1:8" ht="21.75" customHeight="1" x14ac:dyDescent="0.25">
      <c r="A13" s="84" t="s">
        <v>369</v>
      </c>
      <c r="B13" s="84"/>
      <c r="C13" s="84"/>
      <c r="D13" s="84"/>
      <c r="E13" s="84"/>
      <c r="F13" s="84"/>
      <c r="G13" s="84"/>
      <c r="H13" s="84"/>
    </row>
    <row r="14" spans="1:8" ht="19.5" customHeight="1" x14ac:dyDescent="0.25">
      <c r="A14" s="37" t="s">
        <v>370</v>
      </c>
      <c r="B14" s="32">
        <v>35</v>
      </c>
      <c r="C14" s="32">
        <v>160</v>
      </c>
      <c r="D14" s="32">
        <v>115</v>
      </c>
      <c r="E14" s="32">
        <v>95</v>
      </c>
      <c r="F14" s="32">
        <v>85</v>
      </c>
      <c r="G14" s="32">
        <v>85</v>
      </c>
      <c r="H14" s="5" t="s">
        <v>371</v>
      </c>
    </row>
    <row r="15" spans="1:8" ht="19.5" customHeight="1" x14ac:dyDescent="0.25">
      <c r="A15" s="37" t="s">
        <v>372</v>
      </c>
      <c r="B15" s="32">
        <v>30</v>
      </c>
      <c r="C15" s="32">
        <v>40</v>
      </c>
      <c r="D15" s="32">
        <v>45</v>
      </c>
      <c r="E15" s="32">
        <v>50</v>
      </c>
      <c r="F15" s="32">
        <v>50</v>
      </c>
      <c r="G15" s="32">
        <v>50</v>
      </c>
      <c r="H15" s="5" t="s">
        <v>373</v>
      </c>
    </row>
    <row r="16" spans="1:8" ht="19.5" customHeight="1" x14ac:dyDescent="0.25">
      <c r="A16" s="37" t="s">
        <v>374</v>
      </c>
      <c r="B16" s="32">
        <v>10</v>
      </c>
      <c r="C16" s="32">
        <v>10</v>
      </c>
      <c r="D16" s="32">
        <v>15</v>
      </c>
      <c r="E16" s="32">
        <v>20</v>
      </c>
      <c r="F16" s="32">
        <v>25</v>
      </c>
      <c r="G16" s="32">
        <v>30</v>
      </c>
    </row>
    <row r="17" spans="1:8" ht="19.5" customHeight="1" x14ac:dyDescent="0.25">
      <c r="A17" s="37" t="s">
        <v>375</v>
      </c>
      <c r="B17" s="32"/>
      <c r="C17" s="32"/>
      <c r="D17" s="32"/>
      <c r="E17" s="32"/>
      <c r="F17" s="32"/>
      <c r="G17" s="32"/>
    </row>
    <row r="18" spans="1:8" ht="24" customHeight="1" x14ac:dyDescent="0.25">
      <c r="A18" s="64" t="s">
        <v>376</v>
      </c>
      <c r="B18" s="65">
        <f t="shared" ref="B18:G18" si="2">IFERROR(B14+B15+B16+B17,0)</f>
        <v>75</v>
      </c>
      <c r="C18" s="65">
        <f t="shared" si="2"/>
        <v>210</v>
      </c>
      <c r="D18" s="65">
        <f t="shared" si="2"/>
        <v>175</v>
      </c>
      <c r="E18" s="65">
        <f t="shared" si="2"/>
        <v>165</v>
      </c>
      <c r="F18" s="65">
        <f t="shared" si="2"/>
        <v>160</v>
      </c>
      <c r="G18" s="65">
        <f t="shared" si="2"/>
        <v>165</v>
      </c>
    </row>
    <row r="20" spans="1:8" ht="25.5" customHeight="1" x14ac:dyDescent="0.25">
      <c r="A20" s="66" t="s">
        <v>377</v>
      </c>
      <c r="B20" s="67">
        <f t="shared" ref="B20:G20" si="3">B11-B18</f>
        <v>1</v>
      </c>
      <c r="C20" s="67">
        <f t="shared" si="3"/>
        <v>3</v>
      </c>
      <c r="D20" s="67">
        <f t="shared" si="3"/>
        <v>-15</v>
      </c>
      <c r="E20" s="67">
        <f t="shared" si="3"/>
        <v>-36</v>
      </c>
      <c r="F20" s="67">
        <f t="shared" si="3"/>
        <v>-7</v>
      </c>
      <c r="G20" s="67">
        <f t="shared" si="3"/>
        <v>21</v>
      </c>
      <c r="H20" s="5" t="s">
        <v>378</v>
      </c>
    </row>
  </sheetData>
  <mergeCells count="4">
    <mergeCell ref="A1:H1"/>
    <mergeCell ref="A2:H2"/>
    <mergeCell ref="A4:H4"/>
    <mergeCell ref="A13:H13"/>
  </mergeCells>
  <pageMargins left="0.5" right="0.5" top="0.75" bottom="0.75" header="0.511811023622047" footer="0.511811023622047"/>
  <pageSetup paperSize="9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6C3483"/>
  </sheetPr>
  <dimension ref="A1:H23"/>
  <sheetViews>
    <sheetView zoomScaleNormal="100" workbookViewId="0">
      <pane xSplit="1" ySplit="3" topLeftCell="B16" activePane="bottomRight" state="frozen"/>
      <selection pane="topRight" activeCell="B1" sqref="B1"/>
      <selection pane="bottomLeft" activeCell="A4" sqref="A4"/>
      <selection pane="bottomRight" activeCell="H5" sqref="H5"/>
    </sheetView>
  </sheetViews>
  <sheetFormatPr defaultColWidth="8.7109375" defaultRowHeight="15" x14ac:dyDescent="0.25"/>
  <cols>
    <col min="1" max="1" width="43.85546875" style="1" customWidth="1"/>
    <col min="2" max="7" width="14" style="1" customWidth="1"/>
    <col min="8" max="8" width="43.28515625" style="1" customWidth="1"/>
    <col min="9" max="16384" width="8.7109375" style="1"/>
  </cols>
  <sheetData>
    <row r="1" spans="1:8" ht="30" customHeight="1" x14ac:dyDescent="0.25">
      <c r="A1" s="85" t="s">
        <v>379</v>
      </c>
      <c r="B1" s="85"/>
      <c r="C1" s="85"/>
      <c r="D1" s="85"/>
      <c r="E1" s="85"/>
      <c r="F1" s="85"/>
      <c r="G1" s="85"/>
      <c r="H1" s="85"/>
    </row>
    <row r="2" spans="1:8" ht="15" customHeight="1" x14ac:dyDescent="0.25">
      <c r="A2" s="86" t="s">
        <v>380</v>
      </c>
      <c r="B2" s="86"/>
      <c r="C2" s="86"/>
      <c r="D2" s="86"/>
      <c r="E2" s="86"/>
      <c r="F2" s="86"/>
      <c r="G2" s="86"/>
      <c r="H2" s="86"/>
    </row>
    <row r="3" spans="1:8" ht="25.5" customHeight="1" x14ac:dyDescent="0.25">
      <c r="A3" s="10" t="s">
        <v>103</v>
      </c>
      <c r="B3" s="28" t="str">
        <f>'⚙ SETUP'!C19</f>
        <v>2022-23 (Actual)</v>
      </c>
      <c r="C3" s="28" t="str">
        <f>'⚙ SETUP'!C20</f>
        <v>2023-24 (Actual)</v>
      </c>
      <c r="D3" s="29" t="str">
        <f>'⚙ SETUP'!C21</f>
        <v>2024-25 (Estimated)</v>
      </c>
      <c r="E3" s="30" t="str">
        <f>'⚙ SETUP'!C22</f>
        <v>2025-26 (Projected)</v>
      </c>
      <c r="F3" s="30" t="str">
        <f>'⚙ SETUP'!C23</f>
        <v>2026-27 (Projected)</v>
      </c>
      <c r="G3" s="30" t="str">
        <f>'⚙ SETUP'!C24</f>
        <v>2027-28 (Projected)</v>
      </c>
      <c r="H3" s="15" t="s">
        <v>297</v>
      </c>
    </row>
    <row r="4" spans="1:8" ht="21.75" customHeight="1" x14ac:dyDescent="0.25">
      <c r="A4" s="83" t="s">
        <v>381</v>
      </c>
      <c r="B4" s="83"/>
      <c r="C4" s="83"/>
      <c r="D4" s="83"/>
      <c r="E4" s="83"/>
      <c r="F4" s="83"/>
      <c r="G4" s="83"/>
      <c r="H4" s="83"/>
    </row>
    <row r="5" spans="1:8" ht="21.75" customHeight="1" x14ac:dyDescent="0.25">
      <c r="A5" s="3" t="s">
        <v>382</v>
      </c>
      <c r="B5" s="26">
        <f>IFERROR('📊 FORM I — BALANCE SHEET'!B26/('📊 FORM I — BALANCE SHEET'!B51),0)</f>
        <v>1.0323741007194245</v>
      </c>
      <c r="C5" s="26">
        <f>IFERROR('📊 FORM I — BALANCE SHEET'!C26/('📊 FORM I — BALANCE SHEET'!C51),0)</f>
        <v>1.0360360360360361</v>
      </c>
      <c r="D5" s="26">
        <f>IFERROR('📊 FORM I — BALANCE SHEET'!D26/('📊 FORM I — BALANCE SHEET'!D51),0)</f>
        <v>1.1618037135278514</v>
      </c>
      <c r="E5" s="26">
        <f>IFERROR('📊 FORM I — BALANCE SHEET'!E26/('📊 FORM I — BALANCE SHEET'!E51),0)</f>
        <v>1.1509433962264151</v>
      </c>
      <c r="F5" s="26">
        <f>IFERROR('📊 FORM I — BALANCE SHEET'!F26/('📊 FORM I — BALANCE SHEET'!F51),0)</f>
        <v>1.164179104477612</v>
      </c>
      <c r="G5" s="26">
        <f>IFERROR('📊 FORM I — BALANCE SHEET'!G26/('📊 FORM I — BALANCE SHEET'!G51),0)</f>
        <v>1.2215686274509805</v>
      </c>
      <c r="H5" s="5" t="s">
        <v>383</v>
      </c>
    </row>
    <row r="6" spans="1:8" ht="21.75" customHeight="1" x14ac:dyDescent="0.25">
      <c r="A6" s="3" t="s">
        <v>384</v>
      </c>
      <c r="B6" s="26">
        <f>IFERROR(('📊 FORM I — BALANCE SHEET'!B26-'📊 FORM I — BALANCE SHEET'!B21)/'📊 FORM I — BALANCE SHEET'!B51,0)</f>
        <v>0.56474820143884896</v>
      </c>
      <c r="C6" s="26">
        <f>IFERROR(('📊 FORM I — BALANCE SHEET'!C26-'📊 FORM I — BALANCE SHEET'!C21)/'📊 FORM I — BALANCE SHEET'!C51,0)</f>
        <v>0.56156156156156156</v>
      </c>
      <c r="D6" s="26">
        <f>IFERROR(('📊 FORM I — BALANCE SHEET'!D26-'📊 FORM I — BALANCE SHEET'!D21)/'📊 FORM I — BALANCE SHEET'!D51,0)</f>
        <v>0.66312997347480107</v>
      </c>
      <c r="E6" s="26">
        <f>IFERROR(('📊 FORM I — BALANCE SHEET'!E26-'📊 FORM I — BALANCE SHEET'!E21)/'📊 FORM I — BALANCE SHEET'!E51,0)</f>
        <v>0.6367924528301887</v>
      </c>
      <c r="F6" s="26">
        <f>IFERROR(('📊 FORM I — BALANCE SHEET'!F26-'📊 FORM I — BALANCE SHEET'!F21)/'📊 FORM I — BALANCE SHEET'!F51,0)</f>
        <v>0.62686567164179108</v>
      </c>
      <c r="G6" s="26">
        <f>IFERROR(('📊 FORM I — BALANCE SHEET'!G26-'📊 FORM I — BALANCE SHEET'!G21)/'📊 FORM I — BALANCE SHEET'!G51,0)</f>
        <v>0.6470588235294118</v>
      </c>
      <c r="H6" s="5" t="s">
        <v>385</v>
      </c>
    </row>
    <row r="7" spans="1:8" ht="21.75" customHeight="1" x14ac:dyDescent="0.25">
      <c r="A7" s="83" t="s">
        <v>386</v>
      </c>
      <c r="B7" s="83"/>
      <c r="C7" s="83"/>
      <c r="D7" s="83"/>
      <c r="E7" s="83"/>
      <c r="F7" s="83"/>
      <c r="G7" s="83"/>
      <c r="H7" s="83"/>
    </row>
    <row r="8" spans="1:8" ht="21.75" customHeight="1" x14ac:dyDescent="0.25">
      <c r="A8" s="3" t="s">
        <v>387</v>
      </c>
      <c r="B8" s="26">
        <f>IFERROR(('📊 FORM I — BALANCE SHEET'!B38+'📊 FORM I — BALANCE SHEET'!B46+'📊 FORM I — BALANCE SHEET'!B45)/'📊 FORM I — BALANCE SHEET'!B35,0)</f>
        <v>1.7877094972067038</v>
      </c>
      <c r="C8" s="26">
        <f>IFERROR(('📊 FORM I — BALANCE SHEET'!C38+'📊 FORM I — BALANCE SHEET'!C46+'📊 FORM I — BALANCE SHEET'!C45)/'📊 FORM I — BALANCE SHEET'!C35,0)</f>
        <v>1.8831168831168832</v>
      </c>
      <c r="D8" s="26">
        <f>IFERROR(('📊 FORM I — BALANCE SHEET'!D38+'📊 FORM I — BALANCE SHEET'!D46+'📊 FORM I — BALANCE SHEET'!D45)/'📊 FORM I — BALANCE SHEET'!D35,0)</f>
        <v>1.2426035502958579</v>
      </c>
      <c r="E8" s="26">
        <f>IFERROR(('📊 FORM I — BALANCE SHEET'!E38+'📊 FORM I — BALANCE SHEET'!E46+'📊 FORM I — BALANCE SHEET'!E45)/'📊 FORM I — BALANCE SHEET'!E35,0)</f>
        <v>1.0074626865671641</v>
      </c>
      <c r="F8" s="26">
        <f>IFERROR(('📊 FORM I — BALANCE SHEET'!F38+'📊 FORM I — BALANCE SHEET'!F46+'📊 FORM I — BALANCE SHEET'!F45)/'📊 FORM I — BALANCE SHEET'!F35,0)</f>
        <v>0.79331941544885176</v>
      </c>
      <c r="G8" s="26">
        <f>IFERROR(('📊 FORM I — BALANCE SHEET'!G38+'📊 FORM I — BALANCE SHEET'!G46+'📊 FORM I — BALANCE SHEET'!G45)/'📊 FORM I — BALANCE SHEET'!G35,0)</f>
        <v>0.59688581314878897</v>
      </c>
      <c r="H8" s="5" t="s">
        <v>388</v>
      </c>
    </row>
    <row r="9" spans="1:8" ht="21.75" customHeight="1" x14ac:dyDescent="0.25">
      <c r="A9" s="3" t="s">
        <v>389</v>
      </c>
      <c r="B9" s="26">
        <f>IFERROR(('📊 FORM I — BALANCE SHEET'!B42+'📊 FORM I — BALANCE SHEET'!B51)/'📊 FORM I — BALANCE SHEET'!B35,0)</f>
        <v>2.3351955307262569</v>
      </c>
      <c r="C9" s="26">
        <f>IFERROR(('📊 FORM I — BALANCE SHEET'!C42+'📊 FORM I — BALANCE SHEET'!C51)/'📊 FORM I — BALANCE SHEET'!C35,0)</f>
        <v>2.4069264069264071</v>
      </c>
      <c r="D9" s="26">
        <f>IFERROR(('📊 FORM I — BALANCE SHEET'!D42+'📊 FORM I — BALANCE SHEET'!D51)/'📊 FORM I — BALANCE SHEET'!D35,0)</f>
        <v>1.665680473372781</v>
      </c>
      <c r="E9" s="26">
        <f>IFERROR(('📊 FORM I — BALANCE SHEET'!E42+'📊 FORM I — BALANCE SHEET'!E51)/'📊 FORM I — BALANCE SHEET'!E35,0)</f>
        <v>1.4253731343283582</v>
      </c>
      <c r="F9" s="26">
        <f>IFERROR(('📊 FORM I — BALANCE SHEET'!F42+'📊 FORM I — BALANCE SHEET'!F51)/'📊 FORM I — BALANCE SHEET'!F35,0)</f>
        <v>1.2025052192066805</v>
      </c>
      <c r="G9" s="26">
        <f>IFERROR(('📊 FORM I — BALANCE SHEET'!G42+'📊 FORM I — BALANCE SHEET'!G51)/'📊 FORM I — BALANCE SHEET'!G35,0)</f>
        <v>0.98615916955017302</v>
      </c>
      <c r="H9" s="5" t="s">
        <v>390</v>
      </c>
    </row>
    <row r="10" spans="1:8" ht="21.75" customHeight="1" x14ac:dyDescent="0.25">
      <c r="A10" s="83" t="s">
        <v>391</v>
      </c>
      <c r="B10" s="83"/>
      <c r="C10" s="83"/>
      <c r="D10" s="83"/>
      <c r="E10" s="83"/>
      <c r="F10" s="83"/>
      <c r="G10" s="83"/>
      <c r="H10" s="83"/>
    </row>
    <row r="11" spans="1:8" ht="21.75" customHeight="1" x14ac:dyDescent="0.25">
      <c r="A11" s="3" t="s">
        <v>392</v>
      </c>
      <c r="B11" s="19">
        <f>IFERROR('📋 FORM II — P&amp;L'!B28/'📋 FORM II — P&amp;L'!B7,0)</f>
        <v>0.16375000000000001</v>
      </c>
      <c r="C11" s="19">
        <f>IFERROR('📋 FORM II — P&amp;L'!C28/'📋 FORM II — P&amp;L'!C7,0)</f>
        <v>0.16666666666666666</v>
      </c>
      <c r="D11" s="19">
        <f>IFERROR('📋 FORM II — P&amp;L'!D28/'📋 FORM II — P&amp;L'!D7,0)</f>
        <v>0.16444444444444445</v>
      </c>
      <c r="E11" s="19">
        <f>IFERROR('📋 FORM II — P&amp;L'!E28/'📋 FORM II — P&amp;L'!E7,0)</f>
        <v>0.16124031007751938</v>
      </c>
      <c r="F11" s="19">
        <f>IFERROR('📋 FORM II — P&amp;L'!F28/'📋 FORM II — P&amp;L'!F7,0)</f>
        <v>0.15945945945945947</v>
      </c>
      <c r="G11" s="19">
        <f>IFERROR('📋 FORM II — P&amp;L'!G28/'📋 FORM II — P&amp;L'!G7,0)</f>
        <v>0.16058823529411764</v>
      </c>
      <c r="H11" s="5" t="s">
        <v>393</v>
      </c>
    </row>
    <row r="12" spans="1:8" ht="21.75" customHeight="1" x14ac:dyDescent="0.25">
      <c r="A12" s="3" t="s">
        <v>394</v>
      </c>
      <c r="B12" s="19">
        <f>IFERROR('📋 FORM II — P&amp;L'!B46/'📋 FORM II — P&amp;L'!B7,0)</f>
        <v>0.06</v>
      </c>
      <c r="C12" s="19">
        <f>IFERROR('📋 FORM II — P&amp;L'!C46/'📋 FORM II — P&amp;L'!C7,0)</f>
        <v>6.3541666666666663E-2</v>
      </c>
      <c r="D12" s="19">
        <f>IFERROR('📋 FORM II — P&amp;L'!D46/'📋 FORM II — P&amp;L'!D7,0)</f>
        <v>6.4000000000000001E-2</v>
      </c>
      <c r="E12" s="19">
        <f>IFERROR('📋 FORM II — P&amp;L'!E46/'📋 FORM II — P&amp;L'!E7,0)</f>
        <v>6.5116279069767441E-2</v>
      </c>
      <c r="F12" s="19">
        <f>IFERROR('📋 FORM II — P&amp;L'!F46/'📋 FORM II — P&amp;L'!F7,0)</f>
        <v>6.824324324324324E-2</v>
      </c>
      <c r="G12" s="19">
        <f>IFERROR('📋 FORM II — P&amp;L'!G46/'📋 FORM II — P&amp;L'!G7,0)</f>
        <v>7.5294117647058817E-2</v>
      </c>
      <c r="H12" s="5" t="s">
        <v>395</v>
      </c>
    </row>
    <row r="13" spans="1:8" ht="21.75" customHeight="1" x14ac:dyDescent="0.25">
      <c r="A13" s="83" t="s">
        <v>396</v>
      </c>
      <c r="B13" s="83"/>
      <c r="C13" s="83"/>
      <c r="D13" s="83"/>
      <c r="E13" s="83"/>
      <c r="F13" s="83"/>
      <c r="G13" s="83"/>
      <c r="H13" s="83"/>
    </row>
    <row r="14" spans="1:8" ht="21.75" customHeight="1" x14ac:dyDescent="0.25">
      <c r="A14" s="3" t="s">
        <v>397</v>
      </c>
      <c r="B14" s="26">
        <f>IFERROR('📋 FORM II — P&amp;L'!B28/'📋 FORM II — P&amp;L'!B40,0)</f>
        <v>3.1951219512195124</v>
      </c>
      <c r="C14" s="26">
        <f>IFERROR('📋 FORM II — P&amp;L'!C28/'📋 FORM II — P&amp;L'!C40,0)</f>
        <v>3.2653061224489797</v>
      </c>
      <c r="D14" s="26">
        <f>IFERROR('📋 FORM II — P&amp;L'!D28/'📋 FORM II — P&amp;L'!D40,0)</f>
        <v>3.3636363636363638</v>
      </c>
      <c r="E14" s="26">
        <f>IFERROR('📋 FORM II — P&amp;L'!E28/'📋 FORM II — P&amp;L'!E40,0)</f>
        <v>3.7142857142857144</v>
      </c>
      <c r="F14" s="26">
        <f>IFERROR('📋 FORM II — P&amp;L'!F28/'📋 FORM II — P&amp;L'!F40,0)</f>
        <v>4.290909090909091</v>
      </c>
      <c r="G14" s="26">
        <f>IFERROR('📋 FORM II — P&amp;L'!G28/'📋 FORM II — P&amp;L'!G40,0)</f>
        <v>5.3529411764705879</v>
      </c>
      <c r="H14" s="5" t="s">
        <v>398</v>
      </c>
    </row>
    <row r="15" spans="1:8" ht="21.75" customHeight="1" x14ac:dyDescent="0.25">
      <c r="A15" s="3" t="s">
        <v>399</v>
      </c>
      <c r="B15" s="26">
        <f>IFERROR('📋 FORM II — P&amp;L'!B49/('📊 FORM I — BALANCE SHEET'!B45+'📋 FORM II — P&amp;L'!B37),0)</f>
        <v>1.4615384615384615</v>
      </c>
      <c r="C15" s="26">
        <f>IFERROR('📋 FORM II — P&amp;L'!C49/('📊 FORM I — BALANCE SHEET'!C45+'📋 FORM II — P&amp;L'!C37),0)</f>
        <v>1.4090909090909092</v>
      </c>
      <c r="D15" s="26">
        <f>IFERROR('📋 FORM II — P&amp;L'!D49/('📊 FORM I — BALANCE SHEET'!D45+'📋 FORM II — P&amp;L'!D37),0)</f>
        <v>1.5068493150684932</v>
      </c>
      <c r="E15" s="26">
        <f>IFERROR('📋 FORM II — P&amp;L'!E49/('📊 FORM I — BALANCE SHEET'!E45+'📋 FORM II — P&amp;L'!E37),0)</f>
        <v>1.6973684210526316</v>
      </c>
      <c r="F15" s="26">
        <f>IFERROR('📋 FORM II — P&amp;L'!F49/('📊 FORM I — BALANCE SHEET'!F45+'📋 FORM II — P&amp;L'!F37),0)</f>
        <v>2.125</v>
      </c>
      <c r="G15" s="26">
        <f>IFERROR('📋 FORM II — P&amp;L'!G49/('📊 FORM I — BALANCE SHEET'!G45+'📋 FORM II — P&amp;L'!G37),0)</f>
        <v>2.8615384615384616</v>
      </c>
      <c r="H15" s="5" t="s">
        <v>400</v>
      </c>
    </row>
    <row r="16" spans="1:8" ht="21.75" customHeight="1" x14ac:dyDescent="0.25">
      <c r="A16" s="83" t="s">
        <v>401</v>
      </c>
      <c r="B16" s="83"/>
      <c r="C16" s="83"/>
      <c r="D16" s="83"/>
      <c r="E16" s="83"/>
      <c r="F16" s="83"/>
      <c r="G16" s="83"/>
      <c r="H16" s="83"/>
    </row>
    <row r="17" spans="1:8" ht="21.75" customHeight="1" x14ac:dyDescent="0.25">
      <c r="A17" s="3" t="s">
        <v>402</v>
      </c>
      <c r="B17" s="26">
        <f>IFERROR('📋 FORM II — P&amp;L'!B7/'📊 FORM I — BALANCE SHEET'!B8,0)</f>
        <v>2.6845637583892619</v>
      </c>
      <c r="C17" s="26">
        <f>IFERROR('📋 FORM II — P&amp;L'!C7/'📊 FORM I — BALANCE SHEET'!C8,0)</f>
        <v>2.622950819672131</v>
      </c>
      <c r="D17" s="26">
        <f>IFERROR('📋 FORM II — P&amp;L'!D7/'📊 FORM I — BALANCE SHEET'!D8,0)</f>
        <v>2.6285046728971961</v>
      </c>
      <c r="E17" s="26">
        <f>IFERROR('📋 FORM II — P&amp;L'!E7/'📊 FORM I — BALANCE SHEET'!E8,0)</f>
        <v>2.7861771058315337</v>
      </c>
      <c r="F17" s="26">
        <f>IFERROR('📋 FORM II — P&amp;L'!F7/'📊 FORM I — BALANCE SHEET'!F8,0)</f>
        <v>3.0769230769230771</v>
      </c>
      <c r="G17" s="26">
        <f>IFERROR('📋 FORM II — P&amp;L'!G7/'📊 FORM I — BALANCE SHEET'!G8,0)</f>
        <v>3.4482758620689653</v>
      </c>
      <c r="H17" s="5" t="s">
        <v>403</v>
      </c>
    </row>
    <row r="18" spans="1:8" ht="21.75" customHeight="1" x14ac:dyDescent="0.25">
      <c r="A18" s="3" t="s">
        <v>404</v>
      </c>
      <c r="B18" s="26">
        <f>IFERROR('📋 FORM II — P&amp;L'!B7/'📊 FORM I — BALANCE SHEET'!B21,0)</f>
        <v>6.1538461538461542</v>
      </c>
      <c r="C18" s="26">
        <f>IFERROR('📋 FORM II — P&amp;L'!C7/'📊 FORM I — BALANCE SHEET'!C21,0)</f>
        <v>6.075949367088608</v>
      </c>
      <c r="D18" s="26">
        <f>IFERROR('📋 FORM II — P&amp;L'!D7/'📊 FORM I — BALANCE SHEET'!D21,0)</f>
        <v>5.9840425531914896</v>
      </c>
      <c r="E18" s="26">
        <f>IFERROR('📋 FORM II — P&amp;L'!E7/'📊 FORM I — BALANCE SHEET'!E21,0)</f>
        <v>5.9174311926605503</v>
      </c>
      <c r="F18" s="26">
        <f>IFERROR('📋 FORM II — P&amp;L'!F7/'📊 FORM I — BALANCE SHEET'!F21,0)</f>
        <v>5.8730158730158726</v>
      </c>
      <c r="G18" s="26">
        <f>IFERROR('📋 FORM II — P&amp;L'!G7/'📊 FORM I — BALANCE SHEET'!G21,0)</f>
        <v>5.802047781569966</v>
      </c>
      <c r="H18" s="5" t="s">
        <v>405</v>
      </c>
    </row>
    <row r="19" spans="1:8" ht="21.75" customHeight="1" x14ac:dyDescent="0.25">
      <c r="A19" s="3" t="s">
        <v>406</v>
      </c>
      <c r="B19" s="27">
        <f>IFERROR('📊 FORM I — BALANCE SHEET'!B22/'📋 FORM II — P&amp;L'!B7*365,0)</f>
        <v>49.275000000000006</v>
      </c>
      <c r="C19" s="27">
        <f>IFERROR('📊 FORM I — BALANCE SHEET'!C22/'📋 FORM II — P&amp;L'!C7*365,0)</f>
        <v>49.046875</v>
      </c>
      <c r="D19" s="27">
        <f>IFERROR('📊 FORM I — BALANCE SHEET'!D22/'📋 FORM II — P&amp;L'!D7*365,0)</f>
        <v>49.315555555555548</v>
      </c>
      <c r="E19" s="27">
        <f>IFERROR('📊 FORM I — BALANCE SHEET'!E22/'📋 FORM II — P&amp;L'!E7*365,0)</f>
        <v>49.232558139534888</v>
      </c>
      <c r="F19" s="27">
        <f>IFERROR('📊 FORM I — BALANCE SHEET'!F22/'📋 FORM II — P&amp;L'!F7*365,0)</f>
        <v>49.817567567567565</v>
      </c>
      <c r="G19" s="27">
        <f>IFERROR('📊 FORM I — BALANCE SHEET'!G22/'📋 FORM II — P&amp;L'!G7*365,0)</f>
        <v>49.811764705882354</v>
      </c>
      <c r="H19" s="5" t="s">
        <v>407</v>
      </c>
    </row>
    <row r="20" spans="1:8" ht="21.75" customHeight="1" x14ac:dyDescent="0.25">
      <c r="A20" s="83" t="s">
        <v>408</v>
      </c>
      <c r="B20" s="83"/>
      <c r="C20" s="83"/>
      <c r="D20" s="83"/>
      <c r="E20" s="83"/>
      <c r="F20" s="83"/>
      <c r="G20" s="83"/>
      <c r="H20" s="83"/>
    </row>
    <row r="21" spans="1:8" ht="21.75" customHeight="1" x14ac:dyDescent="0.25">
      <c r="A21" s="3" t="s">
        <v>409</v>
      </c>
      <c r="B21" s="19">
        <f>IFERROR('🏦 FORM IV-V — MPBF'!B7/'📋 FORM II — P&amp;L'!B7,0)</f>
        <v>0.24875</v>
      </c>
      <c r="C21" s="19">
        <f>IFERROR('🏦 FORM IV-V — MPBF'!C7/'📋 FORM II — P&amp;L'!C7,0)</f>
        <v>0.24687500000000001</v>
      </c>
      <c r="D21" s="19">
        <f>IFERROR('🏦 FORM IV-V — MPBF'!D7/'📋 FORM II — P&amp;L'!D7,0)</f>
        <v>0.27644444444444444</v>
      </c>
      <c r="E21" s="19">
        <f>IFERROR('🏦 FORM IV-V — MPBF'!E7/'📋 FORM II — P&amp;L'!E7,0)</f>
        <v>0.26279069767441859</v>
      </c>
      <c r="F21" s="19">
        <f>IFERROR('🏦 FORM IV-V — MPBF'!F7/'📋 FORM II — P&amp;L'!F7,0)</f>
        <v>0.25135135135135134</v>
      </c>
      <c r="G21" s="19">
        <f>IFERROR('🏦 FORM IV-V — MPBF'!G7/'📋 FORM II — P&amp;L'!G7,0)</f>
        <v>0.24882352941176469</v>
      </c>
      <c r="H21" s="5" t="s">
        <v>410</v>
      </c>
    </row>
    <row r="23" spans="1:8" ht="36" customHeight="1" x14ac:dyDescent="0.25">
      <c r="A23" s="81" t="s">
        <v>411</v>
      </c>
      <c r="B23" s="81"/>
      <c r="C23" s="81"/>
      <c r="D23" s="81"/>
      <c r="E23" s="81"/>
      <c r="F23" s="81"/>
      <c r="G23" s="81"/>
      <c r="H23" s="81"/>
    </row>
  </sheetData>
  <mergeCells count="9">
    <mergeCell ref="A13:H13"/>
    <mergeCell ref="A16:H16"/>
    <mergeCell ref="A20:H20"/>
    <mergeCell ref="A23:H23"/>
    <mergeCell ref="A1:H1"/>
    <mergeCell ref="A2:H2"/>
    <mergeCell ref="A4:H4"/>
    <mergeCell ref="A7:H7"/>
    <mergeCell ref="A10:H10"/>
  </mergeCells>
  <pageMargins left="0.5" right="0.5" top="0.75" bottom="0.75" header="0.511811023622047" footer="0.511811023622047"/>
  <pageSetup paperSize="9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2E86C1"/>
  </sheetPr>
  <dimension ref="A1:B37"/>
  <sheetViews>
    <sheetView zoomScaleNormal="100" workbookViewId="0">
      <selection sqref="A1:XFD1048576"/>
    </sheetView>
  </sheetViews>
  <sheetFormatPr defaultColWidth="8.7109375" defaultRowHeight="15" x14ac:dyDescent="0.25"/>
  <cols>
    <col min="1" max="1" width="6" style="1" customWidth="1"/>
    <col min="2" max="2" width="100" style="1" customWidth="1"/>
    <col min="3" max="16384" width="8.7109375" style="1"/>
  </cols>
  <sheetData>
    <row r="1" spans="1:2" ht="30" customHeight="1" x14ac:dyDescent="0.25">
      <c r="A1" s="85" t="s">
        <v>412</v>
      </c>
      <c r="B1" s="85"/>
    </row>
    <row r="3" spans="1:2" ht="19.5" customHeight="1" x14ac:dyDescent="0.25">
      <c r="A3" s="97" t="s">
        <v>413</v>
      </c>
      <c r="B3" s="97"/>
    </row>
    <row r="4" spans="1:2" ht="19.5" customHeight="1" x14ac:dyDescent="0.25">
      <c r="A4" s="84" t="s">
        <v>414</v>
      </c>
      <c r="B4" s="84"/>
    </row>
    <row r="5" spans="1:2" ht="48" customHeight="1" x14ac:dyDescent="0.25">
      <c r="A5" s="95" t="s">
        <v>415</v>
      </c>
      <c r="B5" s="95"/>
    </row>
    <row r="6" spans="1:2" ht="19.5" customHeight="1" x14ac:dyDescent="0.25">
      <c r="A6" s="84" t="s">
        <v>416</v>
      </c>
      <c r="B6" s="84"/>
    </row>
    <row r="7" spans="1:2" ht="48" customHeight="1" x14ac:dyDescent="0.25">
      <c r="A7" s="95" t="s">
        <v>417</v>
      </c>
      <c r="B7" s="95"/>
    </row>
    <row r="8" spans="1:2" ht="19.5" customHeight="1" x14ac:dyDescent="0.25">
      <c r="A8" s="84" t="s">
        <v>418</v>
      </c>
      <c r="B8" s="84"/>
    </row>
    <row r="9" spans="1:2" ht="48" customHeight="1" x14ac:dyDescent="0.25">
      <c r="A9" s="95" t="s">
        <v>419</v>
      </c>
      <c r="B9" s="95"/>
    </row>
    <row r="10" spans="1:2" ht="19.5" customHeight="1" x14ac:dyDescent="0.25">
      <c r="A10" s="84" t="s">
        <v>420</v>
      </c>
      <c r="B10" s="84"/>
    </row>
    <row r="11" spans="1:2" ht="48" customHeight="1" x14ac:dyDescent="0.25">
      <c r="A11" s="95" t="s">
        <v>421</v>
      </c>
      <c r="B11" s="95"/>
    </row>
    <row r="12" spans="1:2" ht="19.5" customHeight="1" x14ac:dyDescent="0.25">
      <c r="A12" s="84" t="s">
        <v>422</v>
      </c>
      <c r="B12" s="84"/>
    </row>
    <row r="13" spans="1:2" ht="48" customHeight="1" x14ac:dyDescent="0.25">
      <c r="A13" s="95" t="s">
        <v>423</v>
      </c>
      <c r="B13" s="95"/>
    </row>
    <row r="14" spans="1:2" ht="19.5" customHeight="1" x14ac:dyDescent="0.25">
      <c r="A14" s="84" t="s">
        <v>424</v>
      </c>
      <c r="B14" s="84"/>
    </row>
    <row r="15" spans="1:2" ht="48" customHeight="1" x14ac:dyDescent="0.25">
      <c r="A15" s="95" t="s">
        <v>425</v>
      </c>
      <c r="B15" s="95"/>
    </row>
    <row r="16" spans="1:2" ht="19.5" customHeight="1" x14ac:dyDescent="0.25">
      <c r="A16" s="84" t="s">
        <v>426</v>
      </c>
      <c r="B16" s="84"/>
    </row>
    <row r="17" spans="1:2" ht="48" customHeight="1" x14ac:dyDescent="0.25">
      <c r="A17" s="95" t="s">
        <v>427</v>
      </c>
      <c r="B17" s="95"/>
    </row>
    <row r="19" spans="1:2" ht="19.5" customHeight="1" x14ac:dyDescent="0.25">
      <c r="A19" s="97" t="s">
        <v>428</v>
      </c>
      <c r="B19" s="97"/>
    </row>
    <row r="20" spans="1:2" ht="48" customHeight="1" x14ac:dyDescent="0.25">
      <c r="A20" s="95" t="s">
        <v>429</v>
      </c>
      <c r="B20" s="95"/>
    </row>
    <row r="21" spans="1:2" ht="48" customHeight="1" x14ac:dyDescent="0.25">
      <c r="A21" s="95" t="s">
        <v>430</v>
      </c>
      <c r="B21" s="95"/>
    </row>
    <row r="23" spans="1:2" ht="19.5" customHeight="1" x14ac:dyDescent="0.25">
      <c r="A23" s="97" t="s">
        <v>431</v>
      </c>
      <c r="B23" s="97"/>
    </row>
    <row r="24" spans="1:2" ht="48" customHeight="1" x14ac:dyDescent="0.25">
      <c r="A24" s="95" t="s">
        <v>432</v>
      </c>
      <c r="B24" s="95"/>
    </row>
    <row r="25" spans="1:2" ht="48" customHeight="1" x14ac:dyDescent="0.25">
      <c r="A25" s="95" t="s">
        <v>433</v>
      </c>
      <c r="B25" s="95"/>
    </row>
    <row r="26" spans="1:2" ht="48" customHeight="1" x14ac:dyDescent="0.25">
      <c r="A26" s="95" t="s">
        <v>434</v>
      </c>
      <c r="B26" s="95"/>
    </row>
    <row r="27" spans="1:2" ht="48" customHeight="1" x14ac:dyDescent="0.25">
      <c r="A27" s="95" t="s">
        <v>435</v>
      </c>
      <c r="B27" s="95"/>
    </row>
    <row r="29" spans="1:2" ht="19.5" customHeight="1" x14ac:dyDescent="0.25">
      <c r="A29" s="97" t="s">
        <v>436</v>
      </c>
      <c r="B29" s="97"/>
    </row>
    <row r="30" spans="1:2" ht="48" customHeight="1" x14ac:dyDescent="0.25">
      <c r="A30" s="95" t="s">
        <v>437</v>
      </c>
      <c r="B30" s="95"/>
    </row>
    <row r="31" spans="1:2" ht="48" customHeight="1" x14ac:dyDescent="0.25">
      <c r="A31" s="95" t="s">
        <v>438</v>
      </c>
      <c r="B31" s="95"/>
    </row>
    <row r="32" spans="1:2" ht="48" customHeight="1" x14ac:dyDescent="0.25">
      <c r="A32" s="95" t="s">
        <v>439</v>
      </c>
      <c r="B32" s="95"/>
    </row>
    <row r="33" spans="1:2" ht="48" customHeight="1" x14ac:dyDescent="0.25">
      <c r="A33" s="95" t="s">
        <v>440</v>
      </c>
      <c r="B33" s="95"/>
    </row>
    <row r="34" spans="1:2" ht="48" customHeight="1" x14ac:dyDescent="0.25">
      <c r="A34" s="95" t="s">
        <v>441</v>
      </c>
      <c r="B34" s="95"/>
    </row>
    <row r="35" spans="1:2" ht="48" customHeight="1" x14ac:dyDescent="0.25">
      <c r="A35" s="95" t="s">
        <v>442</v>
      </c>
      <c r="B35" s="95"/>
    </row>
    <row r="37" spans="1:2" ht="15.75" customHeight="1" x14ac:dyDescent="0.25">
      <c r="A37" s="96" t="s">
        <v>443</v>
      </c>
      <c r="B37" s="96"/>
    </row>
  </sheetData>
  <mergeCells count="32">
    <mergeCell ref="A1:B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9:B19"/>
    <mergeCell ref="A20:B20"/>
    <mergeCell ref="A21:B21"/>
    <mergeCell ref="A23:B23"/>
    <mergeCell ref="A24:B24"/>
    <mergeCell ref="A25:B25"/>
    <mergeCell ref="A26:B26"/>
    <mergeCell ref="A27:B27"/>
    <mergeCell ref="A29:B29"/>
    <mergeCell ref="A35:B35"/>
    <mergeCell ref="A37:B37"/>
    <mergeCell ref="A30:B30"/>
    <mergeCell ref="A31:B31"/>
    <mergeCell ref="A32:B32"/>
    <mergeCell ref="A33:B33"/>
    <mergeCell ref="A34:B34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🏠 COVER</vt:lpstr>
      <vt:lpstr>⚙ SETUP</vt:lpstr>
      <vt:lpstr>📑 SUMMARY FOR BANK</vt:lpstr>
      <vt:lpstr>📊 FORM I — BALANCE SHEET</vt:lpstr>
      <vt:lpstr>📋 FORM II — P&amp;L</vt:lpstr>
      <vt:lpstr>📦 FORM III — CA &amp; CL</vt:lpstr>
      <vt:lpstr>🏦 FORM IV-V — MPBF</vt:lpstr>
      <vt:lpstr>💰 FORM VI — FUND FLOW</vt:lpstr>
      <vt:lpstr>📈 FORM VII — RATIOS</vt:lpstr>
      <vt:lpstr>📖 HOW TO USE</vt:lpstr>
      <vt:lpstr>'🏦 FORM IV-V — MPBF'!Print_Area</vt:lpstr>
      <vt:lpstr>'💰 FORM VI — FUND FLOW'!Print_Area</vt:lpstr>
      <vt:lpstr>'📈 FORM VII — RATIOS'!Print_Area</vt:lpstr>
      <vt:lpstr>'📊 FORM I — BALANCE SHEET'!Print_Area</vt:lpstr>
      <vt:lpstr>'📋 FORM II — P&amp;L'!Print_Area</vt:lpstr>
      <vt:lpstr>'📑 SUMMARY FOR BANK'!Print_Area</vt:lpstr>
      <vt:lpstr>'📦 FORM III — CA &amp; CL'!Print_Area</vt:lpstr>
      <vt:lpstr>'🏦 FORM IV-V — MPBF'!Print_Titles</vt:lpstr>
      <vt:lpstr>'💰 FORM VI — FUND FLOW'!Print_Titles</vt:lpstr>
      <vt:lpstr>'📈 FORM VII — RATIOS'!Print_Titles</vt:lpstr>
      <vt:lpstr>'📊 FORM I — BALANCE SHEET'!Print_Titles</vt:lpstr>
      <vt:lpstr>'📋 FORM II — P&amp;L'!Print_Titles</vt:lpstr>
      <vt:lpstr>'📑 SUMMARY FOR BANK'!Print_Titles</vt:lpstr>
      <vt:lpstr>'📦 FORM III — CA &amp; CL'!Print_Titles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>madhu roy</cp:lastModifiedBy>
  <cp:revision>0</cp:revision>
  <dcterms:created xsi:type="dcterms:W3CDTF">2026-09-24T05:42:09Z</dcterms:created>
  <dcterms:modified xsi:type="dcterms:W3CDTF">2026-09-28T12:13:07Z</dcterms:modified>
  <dc:language>en-US</dc:language>
</cp:coreProperties>
</file>