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ACER Data website\MAYA\CAMSROY website\Excel Template\capital budgeting\"/>
    </mc:Choice>
  </mc:AlternateContent>
  <xr:revisionPtr revIDLastSave="0" documentId="13_ncr:1_{B99AA070-1337-4035-9595-2C1BD8212CEC}" xr6:coauthVersionLast="47" xr6:coauthVersionMax="47" xr10:uidLastSave="{00000000-0000-0000-0000-000000000000}"/>
  <bookViews>
    <workbookView xWindow="-120" yWindow="-120" windowWidth="25440" windowHeight="15270" tabRatio="500" activeTab="6" xr2:uid="{00000000-000D-0000-FFFF-FFFF00000000}"/>
  </bookViews>
  <sheets>
    <sheet name="🏠 COVER" sheetId="1" r:id="rId1"/>
    <sheet name="📖 HOW TO USE" sheetId="7" r:id="rId2"/>
    <sheet name="⚙ SETUP" sheetId="2" r:id="rId3"/>
    <sheet name="💸 INVESTMENT &amp; WC" sheetId="3" r:id="rId4"/>
    <sheet name="📈 REVENUE &amp; COSTS" sheetId="4" r:id="rId5"/>
    <sheet name="🧾 DEP &amp; TAX" sheetId="5" r:id="rId6"/>
    <sheet name="📊 APPRAISAL" sheetId="6" r:id="rId7"/>
    <sheet name="⚖ PROJECT COMPARISON" sheetId="8" r:id="rId8"/>
    <sheet name="📋 CAPITAL RATIONING" sheetId="9" r:id="rId9"/>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29" i="9" l="1"/>
  <c r="E15" i="9"/>
  <c r="F15" i="9" s="1"/>
  <c r="E14" i="9"/>
  <c r="F14" i="9" s="1"/>
  <c r="E13" i="9"/>
  <c r="F13" i="9" s="1"/>
  <c r="E12" i="9"/>
  <c r="F12" i="9" s="1"/>
  <c r="E11" i="9"/>
  <c r="F11" i="9" s="1"/>
  <c r="E10" i="9"/>
  <c r="F10" i="9" s="1"/>
  <c r="E9" i="9"/>
  <c r="F9" i="9" s="1"/>
  <c r="E8" i="9"/>
  <c r="F8" i="9" s="1"/>
  <c r="C23" i="8"/>
  <c r="C32" i="8" s="1"/>
  <c r="C22" i="8"/>
  <c r="C31" i="8" s="1"/>
  <c r="C21" i="8"/>
  <c r="B19" i="8"/>
  <c r="B18" i="8"/>
  <c r="F5" i="8"/>
  <c r="F6" i="8" s="1"/>
  <c r="F7" i="8" s="1"/>
  <c r="F8" i="8" s="1"/>
  <c r="F9" i="8" s="1"/>
  <c r="F10" i="8" s="1"/>
  <c r="E5" i="8"/>
  <c r="E6" i="8" s="1"/>
  <c r="E7" i="8" s="1"/>
  <c r="E8" i="8" s="1"/>
  <c r="E9" i="8" s="1"/>
  <c r="E10" i="8" s="1"/>
  <c r="C53" i="6"/>
  <c r="C52" i="6"/>
  <c r="C50" i="6"/>
  <c r="A47" i="6"/>
  <c r="B36" i="6"/>
  <c r="C35" i="6"/>
  <c r="C31" i="6"/>
  <c r="C24" i="6"/>
  <c r="C21" i="6"/>
  <c r="C15" i="6"/>
  <c r="C14" i="6"/>
  <c r="C13" i="6"/>
  <c r="C12" i="6"/>
  <c r="C11" i="6"/>
  <c r="C10" i="6"/>
  <c r="C9" i="6"/>
  <c r="C8" i="6"/>
  <c r="C7" i="6"/>
  <c r="C6" i="6"/>
  <c r="B15" i="5"/>
  <c r="B10" i="5"/>
  <c r="B5" i="5"/>
  <c r="K11" i="4"/>
  <c r="K12" i="4" s="1"/>
  <c r="J11" i="4"/>
  <c r="J12" i="4" s="1"/>
  <c r="I11" i="4"/>
  <c r="I12" i="4" s="1"/>
  <c r="H11" i="4"/>
  <c r="H12" i="4" s="1"/>
  <c r="G11" i="4"/>
  <c r="G12" i="4" s="1"/>
  <c r="F11" i="4"/>
  <c r="F12" i="4" s="1"/>
  <c r="E11" i="4"/>
  <c r="E12" i="4" s="1"/>
  <c r="D11" i="4"/>
  <c r="D12" i="4" s="1"/>
  <c r="C11" i="4"/>
  <c r="C12" i="4" s="1"/>
  <c r="B11" i="4"/>
  <c r="B12" i="4" s="1"/>
  <c r="L13" i="3"/>
  <c r="L24" i="3" s="1"/>
  <c r="K13" i="3"/>
  <c r="K24" i="3" s="1"/>
  <c r="J13" i="3"/>
  <c r="I13" i="3"/>
  <c r="I24" i="3" s="1"/>
  <c r="H13" i="3"/>
  <c r="H24" i="3" s="1"/>
  <c r="G13" i="3"/>
  <c r="G24" i="3" s="1"/>
  <c r="F13" i="3"/>
  <c r="F24" i="3" s="1"/>
  <c r="E13" i="3"/>
  <c r="E24" i="3" s="1"/>
  <c r="D13" i="3"/>
  <c r="D24" i="3" s="1"/>
  <c r="C13" i="3"/>
  <c r="C24" i="3" s="1"/>
  <c r="L9" i="3"/>
  <c r="K9" i="3"/>
  <c r="J9" i="3"/>
  <c r="I9" i="3"/>
  <c r="H9" i="3"/>
  <c r="G9" i="3"/>
  <c r="F9" i="3"/>
  <c r="E9" i="3"/>
  <c r="D9" i="3"/>
  <c r="C9" i="3"/>
  <c r="B9" i="3"/>
  <c r="B23" i="3" s="1"/>
  <c r="B5" i="6" s="1"/>
  <c r="E22" i="9" l="1"/>
  <c r="B26" i="9"/>
  <c r="B19" i="9"/>
  <c r="C19" i="9"/>
  <c r="D19" i="9"/>
  <c r="E19" i="9"/>
  <c r="C31" i="9" s="1"/>
  <c r="B20" i="9"/>
  <c r="C20" i="9"/>
  <c r="D20" i="9"/>
  <c r="E20" i="9"/>
  <c r="B21" i="9"/>
  <c r="C21" i="9"/>
  <c r="D21" i="9"/>
  <c r="E21" i="9"/>
  <c r="B22" i="9"/>
  <c r="C22" i="9"/>
  <c r="D22" i="9"/>
  <c r="B23" i="9"/>
  <c r="C23" i="9"/>
  <c r="D23" i="9"/>
  <c r="E23" i="9"/>
  <c r="B24" i="9"/>
  <c r="C24" i="9"/>
  <c r="D24" i="9"/>
  <c r="E24" i="9"/>
  <c r="B25" i="9"/>
  <c r="C25" i="9"/>
  <c r="D25" i="9"/>
  <c r="E25" i="9"/>
  <c r="C26" i="9"/>
  <c r="E26" i="9"/>
  <c r="D26" i="9"/>
  <c r="C30" i="8"/>
  <c r="C24" i="8"/>
  <c r="C33" i="8" s="1"/>
  <c r="F11" i="8"/>
  <c r="F12" i="8" s="1"/>
  <c r="F13" i="8" s="1"/>
  <c r="F14" i="8" s="1"/>
  <c r="F15" i="8" s="1"/>
  <c r="C26" i="8"/>
  <c r="C35" i="8" s="1"/>
  <c r="E11" i="8"/>
  <c r="E12" i="8" s="1"/>
  <c r="E13" i="8" s="1"/>
  <c r="E14" i="8" s="1"/>
  <c r="E15" i="8" s="1"/>
  <c r="C25" i="8"/>
  <c r="C34" i="8" s="1"/>
  <c r="B16" i="5"/>
  <c r="B17" i="5" s="1"/>
  <c r="C15" i="5" s="1"/>
  <c r="B11" i="5"/>
  <c r="B12" i="5"/>
  <c r="C10" i="5" s="1"/>
  <c r="B6" i="5"/>
  <c r="B19" i="5" s="1"/>
  <c r="B7" i="5"/>
  <c r="K13" i="4"/>
  <c r="J13" i="4"/>
  <c r="I13" i="4"/>
  <c r="H13" i="4"/>
  <c r="G13" i="4"/>
  <c r="F13" i="4"/>
  <c r="E13" i="4"/>
  <c r="D13" i="4"/>
  <c r="C13" i="4"/>
  <c r="B13" i="4"/>
  <c r="D5" i="6"/>
  <c r="E5" i="6"/>
  <c r="C49" i="6"/>
  <c r="B5" i="8"/>
  <c r="F19" i="9" l="1"/>
  <c r="H19" i="9"/>
  <c r="I19" i="9"/>
  <c r="C16" i="5"/>
  <c r="C17" i="5" s="1"/>
  <c r="D15" i="5" s="1"/>
  <c r="C11" i="5"/>
  <c r="C12" i="5" s="1"/>
  <c r="D10" i="5" s="1"/>
  <c r="B20" i="5"/>
  <c r="B16" i="4"/>
  <c r="B21" i="5"/>
  <c r="C5" i="5"/>
  <c r="F5" i="6"/>
  <c r="G19" i="9" l="1"/>
  <c r="F20" i="9"/>
  <c r="D16" i="5"/>
  <c r="D17" i="5"/>
  <c r="E15" i="5" s="1"/>
  <c r="D11" i="5"/>
  <c r="D12" i="5"/>
  <c r="E10" i="5" s="1"/>
  <c r="B17" i="4"/>
  <c r="B20" i="4"/>
  <c r="C6" i="5"/>
  <c r="C19" i="5" s="1"/>
  <c r="C7" i="5"/>
  <c r="I20" i="9" l="1"/>
  <c r="H20" i="9"/>
  <c r="G20" i="9"/>
  <c r="F21" i="9"/>
  <c r="E16" i="5"/>
  <c r="E17" i="5"/>
  <c r="F15" i="5" s="1"/>
  <c r="E11" i="5"/>
  <c r="E12" i="5" s="1"/>
  <c r="F10" i="5" s="1"/>
  <c r="B18" i="4"/>
  <c r="B19" i="4" s="1"/>
  <c r="B21" i="4" s="1"/>
  <c r="B6" i="6" s="1"/>
  <c r="C20" i="5"/>
  <c r="C16" i="4"/>
  <c r="C21" i="5"/>
  <c r="D5" i="5"/>
  <c r="I21" i="9" l="1"/>
  <c r="H21" i="9"/>
  <c r="G21" i="9"/>
  <c r="F22" i="9"/>
  <c r="F16" i="5"/>
  <c r="F17" i="5"/>
  <c r="G15" i="5" s="1"/>
  <c r="F11" i="5"/>
  <c r="F12" i="5"/>
  <c r="G10" i="5" s="1"/>
  <c r="E6" i="6"/>
  <c r="D6" i="6"/>
  <c r="B6" i="8"/>
  <c r="C17" i="4"/>
  <c r="C20" i="4"/>
  <c r="D6" i="5"/>
  <c r="D19" i="5" s="1"/>
  <c r="D7" i="5"/>
  <c r="I22" i="9" l="1"/>
  <c r="H22" i="9"/>
  <c r="G22" i="9"/>
  <c r="F23" i="9"/>
  <c r="G16" i="5"/>
  <c r="G17" i="5"/>
  <c r="H15" i="5" s="1"/>
  <c r="G11" i="5"/>
  <c r="G12" i="5"/>
  <c r="H10" i="5" s="1"/>
  <c r="F6" i="6"/>
  <c r="C18" i="4"/>
  <c r="C19" i="4" s="1"/>
  <c r="C21" i="4" s="1"/>
  <c r="B7" i="6" s="1"/>
  <c r="D20" i="5"/>
  <c r="D16" i="4"/>
  <c r="D21" i="5"/>
  <c r="E5" i="5"/>
  <c r="I23" i="9" l="1"/>
  <c r="H23" i="9"/>
  <c r="G23" i="9"/>
  <c r="F24" i="9"/>
  <c r="H16" i="5"/>
  <c r="H17" i="5"/>
  <c r="I15" i="5" s="1"/>
  <c r="H11" i="5"/>
  <c r="H12" i="5"/>
  <c r="I10" i="5" s="1"/>
  <c r="E7" i="6"/>
  <c r="D7" i="6"/>
  <c r="B7" i="8"/>
  <c r="D17" i="4"/>
  <c r="D20" i="4"/>
  <c r="E6" i="5"/>
  <c r="E19" i="5" s="1"/>
  <c r="E7" i="5"/>
  <c r="I24" i="9" l="1"/>
  <c r="H24" i="9"/>
  <c r="G24" i="9"/>
  <c r="F25" i="9"/>
  <c r="I16" i="5"/>
  <c r="I17" i="5"/>
  <c r="J15" i="5" s="1"/>
  <c r="I11" i="5"/>
  <c r="I12" i="5"/>
  <c r="J10" i="5" s="1"/>
  <c r="F7" i="6"/>
  <c r="D18" i="4"/>
  <c r="D19" i="4"/>
  <c r="D21" i="4" s="1"/>
  <c r="B8" i="6" s="1"/>
  <c r="E20" i="5"/>
  <c r="E16" i="4"/>
  <c r="E21" i="5"/>
  <c r="F5" i="5"/>
  <c r="I25" i="9" l="1"/>
  <c r="H25" i="9"/>
  <c r="G25" i="9"/>
  <c r="F26" i="9"/>
  <c r="J16" i="5"/>
  <c r="J17" i="5"/>
  <c r="K15" i="5" s="1"/>
  <c r="J11" i="5"/>
  <c r="J12" i="5"/>
  <c r="K10" i="5" s="1"/>
  <c r="E8" i="6"/>
  <c r="D8" i="6"/>
  <c r="B8" i="8"/>
  <c r="E17" i="4"/>
  <c r="E20" i="4"/>
  <c r="F6" i="5"/>
  <c r="I26" i="9" l="1"/>
  <c r="H26" i="9"/>
  <c r="G26" i="9"/>
  <c r="K16" i="5"/>
  <c r="K17" i="5"/>
  <c r="K11" i="5"/>
  <c r="K12" i="5"/>
  <c r="F8" i="6"/>
  <c r="E18" i="4"/>
  <c r="E19" i="4"/>
  <c r="E21" i="4" s="1"/>
  <c r="B9" i="6" s="1"/>
  <c r="F19" i="5"/>
  <c r="F7" i="5"/>
  <c r="C30" i="9" l="1"/>
  <c r="C34" i="9"/>
  <c r="C33" i="9"/>
  <c r="C32" i="9"/>
  <c r="E9" i="6"/>
  <c r="D9" i="6"/>
  <c r="F9" i="6" s="1"/>
  <c r="B9" i="8"/>
  <c r="F16" i="4"/>
  <c r="F20" i="5"/>
  <c r="G5" i="5"/>
  <c r="F21" i="5"/>
  <c r="F17" i="4" l="1"/>
  <c r="F20" i="4"/>
  <c r="G6" i="5"/>
  <c r="F18" i="4" l="1"/>
  <c r="F19" i="4" s="1"/>
  <c r="F21" i="4" s="1"/>
  <c r="B10" i="6" s="1"/>
  <c r="G19" i="5"/>
  <c r="G7" i="5"/>
  <c r="E10" i="6" l="1"/>
  <c r="D10" i="6"/>
  <c r="F10" i="6" s="1"/>
  <c r="B10" i="8"/>
  <c r="G16" i="4"/>
  <c r="G20" i="5"/>
  <c r="H5" i="5"/>
  <c r="G21" i="5"/>
  <c r="B21" i="6" l="1"/>
  <c r="B24" i="6"/>
  <c r="G17" i="4"/>
  <c r="G20" i="4"/>
  <c r="H6" i="5"/>
  <c r="H19" i="5" s="1"/>
  <c r="H7" i="5"/>
  <c r="D21" i="6" l="1"/>
  <c r="D52" i="6" s="1"/>
  <c r="B52" i="6"/>
  <c r="B34" i="8"/>
  <c r="D34" i="8" s="1"/>
  <c r="B25" i="8"/>
  <c r="D24" i="6"/>
  <c r="D53" i="6" s="1"/>
  <c r="B53" i="6"/>
  <c r="B35" i="8"/>
  <c r="D35" i="8" s="1"/>
  <c r="B26" i="8"/>
  <c r="G18" i="4"/>
  <c r="G19" i="4"/>
  <c r="G21" i="4" s="1"/>
  <c r="B11" i="6" s="1"/>
  <c r="H20" i="5"/>
  <c r="H16" i="4"/>
  <c r="H21" i="5"/>
  <c r="I5" i="5"/>
  <c r="E11" i="6" l="1"/>
  <c r="D11" i="6"/>
  <c r="F11" i="6" s="1"/>
  <c r="B11" i="8"/>
  <c r="H17" i="4"/>
  <c r="H20" i="4"/>
  <c r="I6" i="5"/>
  <c r="I19" i="5" s="1"/>
  <c r="I7" i="5"/>
  <c r="H18" i="4" l="1"/>
  <c r="H19" i="4" s="1"/>
  <c r="H21" i="4" s="1"/>
  <c r="B12" i="6" s="1"/>
  <c r="I20" i="5"/>
  <c r="I16" i="4"/>
  <c r="I21" i="5"/>
  <c r="B23" i="5" s="1"/>
  <c r="B17" i="3" s="1"/>
  <c r="B18" i="3" s="1"/>
  <c r="B19" i="3" s="1"/>
  <c r="B20" i="3" s="1"/>
  <c r="J24" i="3" s="1"/>
  <c r="J5" i="5"/>
  <c r="E12" i="6" l="1"/>
  <c r="D12" i="6"/>
  <c r="F12" i="6" s="1"/>
  <c r="B12" i="8"/>
  <c r="I17" i="4"/>
  <c r="I20" i="4"/>
  <c r="J6" i="5"/>
  <c r="I19" i="4" l="1"/>
  <c r="I21" i="4" s="1"/>
  <c r="B13" i="6" s="1"/>
  <c r="I18" i="4"/>
  <c r="J19" i="5"/>
  <c r="J7" i="5"/>
  <c r="E13" i="6" l="1"/>
  <c r="D13" i="6"/>
  <c r="F13" i="6" s="1"/>
  <c r="B13" i="8"/>
  <c r="J16" i="4"/>
  <c r="J20" i="5"/>
  <c r="K5" i="5"/>
  <c r="J21" i="5"/>
  <c r="J17" i="4" l="1"/>
  <c r="J20" i="4"/>
  <c r="K6" i="5"/>
  <c r="K19" i="5" s="1"/>
  <c r="K7" i="5"/>
  <c r="K21" i="5" s="1"/>
  <c r="J18" i="4" l="1"/>
  <c r="J19" i="4" s="1"/>
  <c r="J21" i="4" s="1"/>
  <c r="B14" i="6" s="1"/>
  <c r="K20" i="5"/>
  <c r="K16" i="4"/>
  <c r="E14" i="6" l="1"/>
  <c r="D14" i="6"/>
  <c r="F14" i="6" s="1"/>
  <c r="B14" i="8"/>
  <c r="K17" i="4"/>
  <c r="K20" i="4"/>
  <c r="K19" i="4" l="1"/>
  <c r="K21" i="4" s="1"/>
  <c r="B15" i="6" s="1"/>
  <c r="K18" i="4"/>
  <c r="E15" i="6" l="1"/>
  <c r="B35" i="6"/>
  <c r="B16" i="6"/>
  <c r="B31" i="6"/>
  <c r="B27" i="6"/>
  <c r="D15" i="6"/>
  <c r="B15" i="8"/>
  <c r="D35" i="6" l="1"/>
  <c r="D51" i="6" s="1"/>
  <c r="B51" i="6"/>
  <c r="B32" i="8"/>
  <c r="B23" i="8"/>
  <c r="D31" i="6"/>
  <c r="B32" i="6"/>
  <c r="C32" i="6"/>
  <c r="B50" i="6"/>
  <c r="C51" i="6"/>
  <c r="B31" i="8"/>
  <c r="B22" i="8"/>
  <c r="D27" i="6"/>
  <c r="D49" i="6" s="1"/>
  <c r="B49" i="6"/>
  <c r="B39" i="6"/>
  <c r="B30" i="8"/>
  <c r="B21" i="8"/>
  <c r="F15" i="6"/>
  <c r="D16" i="6"/>
  <c r="B28" i="6"/>
  <c r="D39" i="6" l="1"/>
  <c r="B54" i="6"/>
  <c r="B33" i="8"/>
  <c r="B24" i="8"/>
  <c r="D30" i="8"/>
  <c r="D31" i="8"/>
  <c r="D32" i="8"/>
  <c r="D33" i="8"/>
  <c r="A38" i="8"/>
  <c r="D50" i="6"/>
  <c r="D54" i="6" l="1"/>
  <c r="A56" i="6" s="1"/>
  <c r="A41" i="6"/>
</calcChain>
</file>

<file path=xl/sharedStrings.xml><?xml version="1.0" encoding="utf-8"?>
<sst xmlns="http://schemas.openxmlformats.org/spreadsheetml/2006/main" count="416" uniqueCount="357">
  <si>
    <t>📊  camsroy.com</t>
  </si>
  <si>
    <t>Smart Finance Templates  |  Built for CAs, CFOs &amp; Finance Professionals</t>
  </si>
  <si>
    <t>CAPITAL BUDGETING
TEMPLATE</t>
  </si>
  <si>
    <t>Should You Invest in This Project? — All 6 Techniques in One Model</t>
  </si>
  <si>
    <t>Payback · Discounted Payback · NPV · IRR · MIRR · Profitability Index</t>
  </si>
  <si>
    <t>Company / Business Name</t>
  </si>
  <si>
    <t>[Enter Company Name]</t>
  </si>
  <si>
    <t>Project Name</t>
  </si>
  <si>
    <t>[Enter Project Name]</t>
  </si>
  <si>
    <t>Financial Year</t>
  </si>
  <si>
    <t>Prepared By</t>
  </si>
  <si>
    <t>[Your Name / CA Firm]</t>
  </si>
  <si>
    <t>Analysis Date</t>
  </si>
  <si>
    <t>[Date of Analysis]</t>
  </si>
  <si>
    <t>📋  WORKBOOK NAVIGATION</t>
  </si>
  <si>
    <t>⚙</t>
  </si>
  <si>
    <t xml:space="preserve">  SETUP  —  WACC, tax rate, IT Act WDV rate, project life, payback threshold</t>
  </si>
  <si>
    <t>💸</t>
  </si>
  <si>
    <t xml:space="preserve">  INVESTMENT &amp; WC  —  Capex by asset class, working capital, salvage value, terminal cash flows</t>
  </si>
  <si>
    <t>📈</t>
  </si>
  <si>
    <t xml:space="preserve">  REVENUE &amp; COSTS  —  Year-by-year revenue, costs, EBITDA, NOPAT, operating cash flow</t>
  </si>
  <si>
    <t>🧾</t>
  </si>
  <si>
    <t xml:space="preserve">  DEPRECIATION &amp; TAX  —  IT Act WDV schedule, tax shield, Book Value at project end</t>
  </si>
  <si>
    <t>📊</t>
  </si>
  <si>
    <t xml:space="preserve">  APPRAISAL  —  All 6 techniques — Payback, D.Payback, NPV, IRR, MIRR, PI with verdicts</t>
  </si>
  <si>
    <t>⚖</t>
  </si>
  <si>
    <t xml:space="preserve">  PROJECT COMPARISON  —  Project A vs Project B — side-by-side on all 6 metrics</t>
  </si>
  <si>
    <t>📖</t>
  </si>
  <si>
    <t xml:space="preserve">  HOW TO USE  —  CA-level guide: when techniques conflict, which to trust and why</t>
  </si>
  <si>
    <t>📋</t>
  </si>
  <si>
    <t xml:space="preserve">  CAPITAL RATIONING  —  Select optimal project mix from multiple candidates within a fixed budget</t>
  </si>
  <si>
    <t>🎨  COLOUR LEGEND</t>
  </si>
  <si>
    <t>Blue = Input (enter your data here)</t>
  </si>
  <si>
    <t>Green = Calculated output — auto-updates</t>
  </si>
  <si>
    <t>Gold = Key metric / decision output</t>
  </si>
  <si>
    <t>Red = Reject / negative verdict</t>
  </si>
  <si>
    <t>Green (verdict) = Accept / positive</t>
  </si>
  <si>
    <t>💡  WHAT MAKES THIS TEMPLATE DIFFERENT</t>
  </si>
  <si>
    <t>✓</t>
  </si>
  <si>
    <t>IT Act WDV depreciation (not straight-line) — the tax shield that actually reduces your tax liability under Sec 32</t>
  </si>
  <si>
    <t>All 6 techniques in one model — compare Payback, Discounted Payback, NPV, IRR, MIRR and PI simultaneously</t>
  </si>
  <si>
    <t>Working capital treatment — cash locked in WC at start is a cash outflow; released at project end is an inflow</t>
  </si>
  <si>
    <t>Salvage value after tax — capital gains tax on the difference between market value and book value (WDV)</t>
  </si>
  <si>
    <t>MIRR corrects IRR's reinvestment assumption — uses your actual WACC as the reinvestment rate</t>
  </si>
  <si>
    <t>Project Comparison — NPV vs IRR conflict demonstrated with two mutually exclusive projects</t>
  </si>
  <si>
    <t>© camsroy.com  |  Free for personal &amp; commercial use  |  www.camsroy.com</t>
  </si>
  <si>
    <t>⚙  camsroy.com  |  CAPITAL BUDGETING SETUP  —  Project Parameters &amp; Assumptions</t>
  </si>
  <si>
    <t>All other sheets reference these. Set once. Blue cells = Input.</t>
  </si>
  <si>
    <t>📐  A. PROJECT PARAMETERS</t>
  </si>
  <si>
    <t>Parameter</t>
  </si>
  <si>
    <t>Value</t>
  </si>
  <si>
    <t>Notes / Source</t>
  </si>
  <si>
    <t>Project Life (years, max 10)</t>
  </si>
  <si>
    <t>Number of years to project cash flows. WDV continues beyond this if asset survives.</t>
  </si>
  <si>
    <t>Discount Rate / WACC (%)</t>
  </si>
  <si>
    <t>Weighted Average Cost of Capital — the hurdle rate for NPV and discounted payback.</t>
  </si>
  <si>
    <t>Reinvestment Rate for MIRR (%)</t>
  </si>
  <si>
    <t>Rate at which positive cash flows are reinvested. Typically = WACC. MIRR = MIRR(CFs, WACC, this rate).</t>
  </si>
  <si>
    <t>Corporate Tax Rate (%)</t>
  </si>
  <si>
    <t>25.17% incl. surcharge+cess under Sec 115BAA. Applies to taxable profit (EBIT).</t>
  </si>
  <si>
    <t>Maximum Acceptable Payback Period (years)</t>
  </si>
  <si>
    <t>Management threshold. Payback &gt; this = reject on liquidity grounds.</t>
  </si>
  <si>
    <t>Maximum Acceptable Discounted Payback (years)</t>
  </si>
  <si>
    <t>Set higher than Simple Payback — discounting extends recovery. Typical: Mfg 5-7yr, Infra 8-12yr, IT 2-4yr.</t>
  </si>
  <si>
    <t>IRR Spread for STRONG ACCEPT (% above WACC)</t>
  </si>
  <si>
    <t>IRR &gt; WACC + 10% = Strong Accept. Default 10pp above WACC.</t>
  </si>
  <si>
    <t>IRR Spread for ACCEPT (% above WACC)</t>
  </si>
  <si>
    <t>IRR &gt; WACC + 5% = Accept. WACC to WACC+5% = Marginal. Below WACC = Reject.</t>
  </si>
  <si>
    <t>🧾  B. IT ACT DEPRECIATION RATES (Section 32, WDV Method)</t>
  </si>
  <si>
    <t>Asset Class</t>
  </si>
  <si>
    <t>WDV Rate (IT Act)</t>
  </si>
  <si>
    <t>Plant &amp; Machinery (General)</t>
  </si>
  <si>
    <t>Sec 32, IT Act — most manufacturing assets. 15% WDV is standard.</t>
  </si>
  <si>
    <t>Building (Factory / Industrial)</t>
  </si>
  <si>
    <t>Sec 32 — factories and industrial buildings. 10% WDV.</t>
  </si>
  <si>
    <t>Computers &amp; Software</t>
  </si>
  <si>
    <t>Sec 32 — accelerated depreciation for IT assets. 40% WDV.</t>
  </si>
  <si>
    <t>Vehicles (commercial)</t>
  </si>
  <si>
    <t>Sec 32 — trucks, delivery vehicles. 30% WDV.</t>
  </si>
  <si>
    <t>Land</t>
  </si>
  <si>
    <t>NOT depreciable under IT Act or Companies Act.</t>
  </si>
  <si>
    <t>📊  C. REFERENCE RATES</t>
  </si>
  <si>
    <t>Notes</t>
  </si>
  <si>
    <t>General Inflation Rate (%)</t>
  </si>
  <si>
    <t>Reference only — not applied to projections by default. Note if inputs are in real or nominal terms.</t>
  </si>
  <si>
    <t>Risk-Free Rate (Gsec 10yr) (%)</t>
  </si>
  <si>
    <t>Equity Risk Premium (%)</t>
  </si>
  <si>
    <t>Damodaran India ERP reference. WACC = Rf + Beta×ERP + Debt component.</t>
  </si>
  <si>
    <t>ℹ  WACC = Cost of Equity × Equity Weight + Cost of Debt × (1-Tax) × Debt Weight. For a 60:40 debt:equity mix at 14% Ke and 10% Kd: WACC = 14%×0.4 + 10%×0.75×0.6 = 10.1%. Enter your calculated WACC in row B8 above.  |  © camsroy.com</t>
  </si>
  <si>
    <t>📊  INDUSTRY BENCHMARK REFERENCE — Simple Payback Thresholds</t>
  </si>
  <si>
    <t>Sector / Project Type</t>
  </si>
  <si>
    <t>Typical Simple
Payback (yrs)</t>
  </si>
  <si>
    <t>Discounted Payback
Threshold (yrs)</t>
  </si>
  <si>
    <t>Manufacturing — SME / General</t>
  </si>
  <si>
    <t>3–5 yrs</t>
  </si>
  <si>
    <t>4–7 yrs</t>
  </si>
  <si>
    <t>Renewable Energy (Solar / Wind / BESS)</t>
  </si>
  <si>
    <t>5–8 yrs</t>
  </si>
  <si>
    <t>7–10 yrs</t>
  </si>
  <si>
    <t>Infrastructure (Roads / Ports)</t>
  </si>
  <si>
    <t>8–15 yrs</t>
  </si>
  <si>
    <t>10–18 yrs</t>
  </si>
  <si>
    <t>IT / Software / Digital</t>
  </si>
  <si>
    <t>1–3 yrs</t>
  </si>
  <si>
    <t>2–4 yrs</t>
  </si>
  <si>
    <t>Retail / FMCG / Consumer</t>
  </si>
  <si>
    <t>Pharma / Specialty Chemicals</t>
  </si>
  <si>
    <t>6–9 yrs</t>
  </si>
  <si>
    <t>Real Estate / Construction</t>
  </si>
  <si>
    <t>5–10 yrs</t>
  </si>
  <si>
    <t>7–12 yrs</t>
  </si>
  <si>
    <t>Export / Industrial Processing</t>
  </si>
  <si>
    <t>3–6 yrs</t>
  </si>
  <si>
    <t>ℹ  Source: Industry practice, RBI project finance guidelines, SBI ECCB norms. Adjust Setup B9 and B10 to match your sector. For a 10-year project: Simple Payback should be ≤ 50-60% of project life, Discounted Payback ≤ 60-70% of project life.</t>
  </si>
  <si>
    <t>💸  camsroy.com  |  INVESTMENT &amp; WORKING CAPITAL  —  Capex, WC &amp; Terminal Flows</t>
  </si>
  <si>
    <t>Blue = Input. Figures in ₹ Lakhs. Year 0 = investment year. Terminal flows auto-calculate.</t>
  </si>
  <si>
    <t>Year 0
(Investment)</t>
  </si>
  <si>
    <t>Year 1</t>
  </si>
  <si>
    <t>Year 2</t>
  </si>
  <si>
    <t>Year 3</t>
  </si>
  <si>
    <t>Year 4</t>
  </si>
  <si>
    <t>Year 5</t>
  </si>
  <si>
    <t>Year 6</t>
  </si>
  <si>
    <t>Year 7</t>
  </si>
  <si>
    <t>Year 8</t>
  </si>
  <si>
    <t>Year 9</t>
  </si>
  <si>
    <t>Year 10</t>
  </si>
  <si>
    <t>💸  A. CAPITAL EXPENDITURE (₹ Lakhs)</t>
  </si>
  <si>
    <t>Land &amp; Site Development</t>
  </si>
  <si>
    <t>WDV: 0% — Land is NOT depreciable under IT Act</t>
  </si>
  <si>
    <t>Building &amp; Civil Works</t>
  </si>
  <si>
    <t>WDV: 10% under IT Act Sec 32</t>
  </si>
  <si>
    <t>Plant &amp; Machinery</t>
  </si>
  <si>
    <t>WDV: 15% under IT Act Sec 32 — main productive asset</t>
  </si>
  <si>
    <t>Other Assets (Vehicles/Computers)</t>
  </si>
  <si>
    <t>WDV: 30%/40% — enter in Depreciation sheet if mixed</t>
  </si>
  <si>
    <t>TOTAL CAPITAL EXPENDITURE</t>
  </si>
  <si>
    <t>🔄  B. WORKING CAPITAL (₹ Lakhs)</t>
  </si>
  <si>
    <t>Working Capital Required</t>
  </si>
  <si>
    <t>Cash locked in inventory, debtors etc. at project start — released at end</t>
  </si>
  <si>
    <t>Working Capital Released (at project end)</t>
  </si>
  <si>
    <t>🏷  C. SALVAGE / TERMINAL VALUE (₹ Lakhs)</t>
  </si>
  <si>
    <t>Expected Market / Salvage Value at End</t>
  </si>
  <si>
    <t>Book Value at End (WDV) — from Depreciation Sheet</t>
  </si>
  <si>
    <t>Capital Gain / (Loss) on Sale  [Market Value - Book Value]</t>
  </si>
  <si>
    <t>Tax on Capital Gain  [if gain &gt; 0 only]</t>
  </si>
  <si>
    <t>Net Salvage Value (after tax)</t>
  </si>
  <si>
    <t>📊  D. TOTAL INVESTMENT FLOWS (₹ Lakhs) — fed into Appraisal Sheet</t>
  </si>
  <si>
    <t>TOTAL INITIAL INVESTMENT (Year 0)  = Capex + WC</t>
  </si>
  <si>
    <t>TERMINAL CASH INFLOW (final year)  = WC Released + Net Salvage</t>
  </si>
  <si>
    <t>ℹ  Year 0 = investment outflow (negative in Appraisal sheet). WDV Book Value at end links from Depreciation sheet automatically. Capital Gain tax applies only if Market Salvage &gt; WDV. If loss on sale, tax saving = Loss × Tax Rate (enter as negative in Tax on Capital Gain — adjust manually).  |  © camsroy.com</t>
  </si>
  <si>
    <t>📈  camsroy.com  |  REVENUE &amp; COSTS  —  Year-by-Year Cash Flow Projections</t>
  </si>
  <si>
    <t>Blue = Input (₹ Lakhs). All formula cells calculate automatically. Figures should be in NOMINAL terms (not inflation-adjusted).</t>
  </si>
  <si>
    <t>📈  A. REVENUE (₹ Lakhs)</t>
  </si>
  <si>
    <t>Revenue from Operations</t>
  </si>
  <si>
    <t>💸  B. OPERATING COSTS (₹ Lakhs)</t>
  </si>
  <si>
    <t>Raw Material / Variable Costs</t>
  </si>
  <si>
    <t>Employee Costs</t>
  </si>
  <si>
    <t>Overheads, Utilities &amp; Admin</t>
  </si>
  <si>
    <t>Total Operating Costs</t>
  </si>
  <si>
    <t>EBITDA  (Revenue − Operating Costs)</t>
  </si>
  <si>
    <t>EBITDA Margin (%)</t>
  </si>
  <si>
    <t>📊  C. NOPAT &amp; OPERATING CASH FLOW (₹ Lakhs)  —  Unlevered (pre-financing)</t>
  </si>
  <si>
    <t>Less: Depreciation (from Depreciation sheet — WDV)</t>
  </si>
  <si>
    <t>EBIT  (Operating Profit after Depreciation)</t>
  </si>
  <si>
    <t>Less: Tax on EBIT  [only if EBIT &gt; 0]</t>
  </si>
  <si>
    <t>NOPAT  (Net Operating Profit After Tax)</t>
  </si>
  <si>
    <t>Add back: Depreciation  (non-cash charge)</t>
  </si>
  <si>
    <t>OPERATING CASH FLOW  = NOPAT + Depreciation  = EBITDA×(1-t) + Dep×t</t>
  </si>
  <si>
    <t>ℹ  OCF = EBITDA×(1-Tax Rate) + Depreciation×Tax Rate — the standard unlevered free cash flow formula. It excludes interest (financing decision separated from investment decision). Depreciation is added back because it is non-cash — it reduces tax but does not leave the firm.  |  © camsroy.com</t>
  </si>
  <si>
    <t>🧾  camsroy.com  |  DEPRECIATION &amp; TAX  —  IT Act WDV Schedule (Section 32)</t>
  </si>
  <si>
    <t>WDV = Written Down Value. Each year: Opening WDV × WDV Rate = Depreciation. Closing WDV = Opening - Depreciation.</t>
  </si>
  <si>
    <t>🏭  BLOCK 1 — PLANT &amp; MACHINERY  |  IT Act WDV Rate: '⚙ SETUP'!B16 (15%)</t>
  </si>
  <si>
    <t>Opening WDV — Plant &amp; Machinery</t>
  </si>
  <si>
    <t>Depreciation — Plant &amp; Machinery  @ '⚙ SETUP'!B16</t>
  </si>
  <si>
    <t>Closing WDV — Plant &amp; Machinery</t>
  </si>
  <si>
    <t>🏛  BLOCK 2 — BUILDING &amp; CIVIL WORKS  |  IT Act WDV Rate: '⚙ SETUP'!B17 (10%)</t>
  </si>
  <si>
    <t>Opening WDV — Building</t>
  </si>
  <si>
    <t>Depreciation — Building  @ '⚙ SETUP'!B17</t>
  </si>
  <si>
    <t>Closing WDV — Building</t>
  </si>
  <si>
    <t>🚗  BLOCK 3 — OTHER ASSETS (Vehicles / Computers)  |  IT Act WDV Rate: '⚙ SETUP'!B19 (30%)</t>
  </si>
  <si>
    <t>Opening WDV — Other Assets (Vehicles/Computers)</t>
  </si>
  <si>
    <t>Depreciation — Other Assets  @ '⚙ SETUP'!B19</t>
  </si>
  <si>
    <t>Closing WDV — Other Assets</t>
  </si>
  <si>
    <t>📊  TOTAL DEPRECIATION &amp; BOOK VALUE SUMMARY</t>
  </si>
  <si>
    <t>Total Depreciation (Plant + Building + Other Assets) — linked to Revenue &amp; Costs</t>
  </si>
  <si>
    <t>Cumulative Depreciation (to date)</t>
  </si>
  <si>
    <t>Net Book Value at End of Year (Plant + Building + Other Assets WDV)</t>
  </si>
  <si>
    <t>Book Value at Project End (all assets) — linked to Investment sheet</t>
  </si>
  <si>
    <t>WDV at year = Project Life (Setup B5). This feeds Investment sheet → Salvage calculation.</t>
  </si>
  <si>
    <t>ℹ  IT Act Sec 32 WDV method: depreciation is calculated on the reducing balance each year. Tax benefit = Depreciation × Tax Rate per year. WDV never reaches zero (unlike SLM). Land is excluded — not depreciable under any method. For assets added mid-year, IT Act allows 50% depreciation in year of acquisition if used &lt;180 days.  |  © camsroy.com</t>
  </si>
  <si>
    <t>📊  camsroy.com  |  APPRAISAL  —  All 6 Capital Budgeting Techniques</t>
  </si>
  <si>
    <t>All figures auto-populate from prior sheets. Primary technique: NPV. All figures in ₹ Lakhs.</t>
  </si>
  <si>
    <t>💰  TOTAL PROJECT CASH FLOWS (₹ Lakhs)</t>
  </si>
  <si>
    <t>Year</t>
  </si>
  <si>
    <t>Cash Flow (₹L)</t>
  </si>
  <si>
    <t>Discount Factor</t>
  </si>
  <si>
    <t>PV of Cash Flow (₹L)</t>
  </si>
  <si>
    <t>Year 0  (Investment)</t>
  </si>
  <si>
    <t>1.0000</t>
  </si>
  <si>
    <t>TOTAL</t>
  </si>
  <si>
    <t>📐  APPRAISAL RESULTS  —  Six Capital Budgeting Techniques</t>
  </si>
  <si>
    <t>Technique / Parameter</t>
  </si>
  <si>
    <t>Result</t>
  </si>
  <si>
    <t>Benchmark / Threshold</t>
  </si>
  <si>
    <t>Verdict</t>
  </si>
  <si>
    <t>1. PAYBACK PERIOD  (undiscounted)</t>
  </si>
  <si>
    <t>Payback Period</t>
  </si>
  <si>
    <t>2. DISCOUNTED PAYBACK PERIOD  (time-value adjusted)</t>
  </si>
  <si>
    <t>Discounted Payback Period</t>
  </si>
  <si>
    <t>3. NET PRESENT VALUE (NPV)  ← PRIMARY TECHNIQUE</t>
  </si>
  <si>
    <t>Net Present Value</t>
  </si>
  <si>
    <t>Must be &gt; 0</t>
  </si>
  <si>
    <t>NPV cross-check (from PV column D above)</t>
  </si>
  <si>
    <t>Should equal NPV above (confirms discount factor calculation is correct)</t>
  </si>
  <si>
    <t>4. INTERNAL RATE OF RETURN (IRR)</t>
  </si>
  <si>
    <t>Internal Rate of Return (IRR)</t>
  </si>
  <si>
    <t>IRR Spread over WACC  |  Strong: &gt;10pp · Accept: 5-10pp · Marginal: 0-5pp</t>
  </si>
  <si>
    <t>5. MODIFIED IRR (MIRR)  —  corrects IRR's reinvestment rate assumption</t>
  </si>
  <si>
    <t>Modified Internal Rate of Return (MIRR)</t>
  </si>
  <si>
    <t>Reinvestment Rate assumed for MIRR</t>
  </si>
  <si>
    <t>MIRR ≤ IRR always (since reinvest rate ≤ IRR). The gap reveals IRR's optimism.</t>
  </si>
  <si>
    <t>6. PROFITABILITY INDEX (PI)  —  NPV per rupee invested  [useful for capital rationing]</t>
  </si>
  <si>
    <t>Profitability Index  = 1 + (NPV / Initial Investment)</t>
  </si>
  <si>
    <t>Must be &gt; 1.0</t>
  </si>
  <si>
    <t>ℹ  NPV is the primary criterion — if NPV is negative, the project destroys value regardless of IRR or Payback. IRR can give misleading results for mutually exclusive projects (see Project Comparison sheet). MIRR is always ≤ IRR and is a more conservative, realistic return estimate. PI &gt; 1 is always consistent with NPV &gt; 0 (they never conflict on a single project).  |  © camsroy.com</t>
  </si>
  <si>
    <t>📋  DECISION MATRIX  —  Industry-Benchmarked Assessment</t>
  </si>
  <si>
    <t>Technique</t>
  </si>
  <si>
    <t>Your Result</t>
  </si>
  <si>
    <t>Industry Benchmark
(Mfg / 10-yr Project)</t>
  </si>
  <si>
    <t>Decision Tier &amp; Commentary</t>
  </si>
  <si>
    <t>1. NPV (PRIMARY — wealth created)</t>
  </si>
  <si>
    <t>2. IRR vs WACC</t>
  </si>
  <si>
    <t>3. MIRR (conservative IRR)</t>
  </si>
  <si>
    <t>4. Simple Payback</t>
  </si>
  <si>
    <t>5. Discounted Payback</t>
  </si>
  <si>
    <t>6. Profitability Index</t>
  </si>
  <si>
    <t>&gt;1.5x = Strong | 1.2–1.5x = Accept | 1.0–1.2x = Marginal | &lt;1.0x = Reject</t>
  </si>
  <si>
    <t>ℹ  BENCHMARK SOURCE &amp; RATIONALE: Simple Payback &lt; 50-60% of project life = Strong (rule of thumb). Discounted Payback &lt; 60-70% of project life acknowledges time value — always longer than simple payback. IRR spread tiers (&gt;WACC+10% Strong, &gt;WACC+5% Accept) based on typical Indian lender risk norms and PE fund hurdles. PI tiers (&gt;1.5x Strong, &gt;1.2x Accept) based on capital rationing practice — see Capital Rationing sheet. NPV is always primary: a project that passes all other screens but has negative NPV should be rejected. Adjust Setup B9-B12 to match your sector. Refer Setup benchmark table for sector-specific thresholds.</t>
  </si>
  <si>
    <t>camsroy.com  |  HOW TO USE  —  Capital Budgeting Template</t>
  </si>
  <si>
    <t>STEP-BY-STEP GUIDE</t>
  </si>
  <si>
    <t xml:space="preserve">  Step 1 — SETUP Sheet</t>
  </si>
  <si>
    <t xml:space="preserve">    Enter the project's WACC (your hurdle rate), tax rate (default 25.17% under Sec 115BAA), project life (max 10 years), reinvestment rate for MIRR (usually equal to WACC), and maximum acceptable payback period. All other sheets reference these.</t>
  </si>
  <si>
    <t xml:space="preserve">  Step 2 — INVESTMENT &amp; WC Sheet</t>
  </si>
  <si>
    <t xml:space="preserve">    Enter capex by asset class (Land, Building, Plant, Other). Enter Working Capital required at project start — this is a cash outflow at Year 0 and is returned at project end. Enter expected salvage value at project end. Capital gain tax and net salvage calculate automatically from the WDV book value (linked from the Depreciation sheet).</t>
  </si>
  <si>
    <t xml:space="preserve">  Step 3 — REVENUE &amp; COSTS Sheet</t>
  </si>
  <si>
    <t xml:space="preserve">    Enter year-by-year Revenue, Raw Materials, Employee Costs, and Overheads. EBITDA, NOPAT, and Operating Cash Flow calculate automatically. The template uses unlevered free cash flows (no interest deducted) discounted at WACC — the standard approach that separates the investment decision from the financing decision.</t>
  </si>
  <si>
    <t xml:space="preserve">  Step 4 — DEPRECIATION &amp; TAX Sheet</t>
  </si>
  <si>
    <t xml:space="preserve">    No manual entry needed here — everything links from Setup (WDV rates) and Investment (capex). The WDV schedule calculates annually for Plant (15%) and Building (10%) separately, consistent with IT Act Sec 32. Total depreciation links to the Revenue &amp; Costs sheet automatically.</t>
  </si>
  <si>
    <t xml:space="preserve">  Step 5 — APPRAISAL Sheet (the decision output)</t>
  </si>
  <si>
    <t xml:space="preserve">    All 6 techniques calculate automatically. Review: (1) NPV — primary criterion, must be positive. (2) IRR vs WACC — the return this project generates vs your cost of capital. (3) MIRR — IRR corrected for the reinvestment assumption. (4) PI — value created per rupee invested. (5 &amp; 6) Payback and Discounted Payback — for liquidity assessment.</t>
  </si>
  <si>
    <t xml:space="preserve">  Step 6 — PROJECT COMPARISON Sheet</t>
  </si>
  <si>
    <t xml:space="preserve">    Enter a competing project's appraisal results in the blue cells (Project B). The sheet demonstrates the NPV vs IRR conflict and gives the correct recommendation (always NPV-based for mutually exclusive projects).</t>
  </si>
  <si>
    <t>THE SIX TECHNIQUES — WHAT EACH TELLS YOU</t>
  </si>
  <si>
    <t xml:space="preserve">    PAYBACK: How many years to recover the investment from undiscounted cash flows. Simple and intuitive. Ignores time value and cash flows after payback — dangerous as a sole criterion.</t>
  </si>
  <si>
    <t xml:space="preserve">    DISCOUNTED PAYBACK: Same as payback but using present values. Better than simple payback, but still ignores cash flows after the payback point.</t>
  </si>
  <si>
    <t xml:space="preserve">    NPV: Sum of all discounted cash flows including Year 0 outflow. If NPV &gt; 0, the project creates value above the required return. The ONLY technique that directly measures wealth creation. PRIMARY CRITERION.</t>
  </si>
  <si>
    <t xml:space="preserve">    IRR: The discount rate at which NPV = 0. If IRR &gt; WACC, the project earns more than its cost of capital. Limitation: assumes cash flows are reinvested at the IRR itself (unrealistic for high-IRR projects). Can give multiple solutions or no solution.</t>
  </si>
  <si>
    <t xml:space="preserve">    MIRR: Modifies IRR by assuming positive cash flows are reinvested at a realistic rate (WACC) and negative flows are financed at the finance rate (WACC). Always gives a unique answer. MIRR is always &lt;= IRR.</t>
  </si>
  <si>
    <t xml:space="preserve">    PROFITABILITY INDEX: NPV per rupee invested = 1 + (NPV / Initial Investment). Useful when capital is rationed — rank projects by PI to maximise NPV from a limited budget. PI &gt; 1 always consistent with NPV &gt; 0.</t>
  </si>
  <si>
    <t>WHEN TECHNIQUES CONFLICT — WHICH TO TRUST</t>
  </si>
  <si>
    <t xml:space="preserve">    NPV vs IRR for mutually exclusive projects: ALWAYS choose the project with higher NPV. IRR can rank projects incorrectly when they differ in scale or timing. A small project may have a higher IRR than a large one, but the large project creates more absolute wealth.</t>
  </si>
  <si>
    <t xml:space="preserve">    NPV positive but Payback long: The project creates value but takes time to recover capital. Acceptable if the firm has the liquidity to wait. Check discounted payback — if it falls within the project life, the investment is recovered on a time-value basis.</t>
  </si>
  <si>
    <t xml:space="preserve">    IRR &gt; WACC but NPV negative: Cannot happen mathematically (they are definitionally consistent for a conventional cash flow). If your spreadsheet shows this, check the cash flow sign conventions.</t>
  </si>
  <si>
    <t xml:space="preserve">    MIRR &lt; IRR: This is always expected. The gap shows how much IRR overstated the return due to the reinvestment assumption. A large gap = IRR was very optimistic.</t>
  </si>
  <si>
    <t>IT ACT DEPRECIATION — WHY WDV MATTERS FOR CASH FLOWS</t>
  </si>
  <si>
    <t xml:space="preserve">    India uses the WDV (Written Down Value / Reducing Balance) method under IT Act Sec 32. This front-loads depreciation — you get a larger tax shield in early years. This is economically better than SLM (Straight Line Method) because early cash flows are worth more than late ones.</t>
  </si>
  <si>
    <t xml:space="preserve">    Key rates: Plant &amp; Machinery 15%, Factory Building 10%, Computers 40%, Vehicles 30%. Land is NOT depreciable. The WDV never reaches zero — there is always a residual book value.</t>
  </si>
  <si>
    <t xml:space="preserve">    Capital gain on sale: If you sell an asset above its WDV, the gain is taxable (short-term or long-term depending on holding period). This template computes the after-tax salvage value automatically: Net Salvage = Market Value - Tax on Capital Gain.</t>
  </si>
  <si>
    <t xml:space="preserve">    THIS MODEL uses IT Act (Section 32) WDV depreciation in the P&amp;L to compute taxable income and actual tax liability — which is the correct approach for cash flow modelling. The depreciation is deducted from EBITDA to get EBIT (reducing the tax base), tax is computed on EBIT, and then depreciation is added back to get Operating Cash Flow. This means the ONLY role of depreciation in this model is to compute the correct tax — which is exactly right. 
    COMPANIES ACT depreciation (Schedule II, SLM based on useful life) is what appears in your published financial statements. It is NOT used here because: (1) the IT department does not accept it as the tax deduction — they use Sec 32 WDV rates; (2) using book depreciation would overstate tax paid and understate OCF, making the NPV wrong. Example: Plant ₹150L — IT Act WDV Yr1 dep = ₹22.5L vs Companies Act SLM Yr1 dep = ₹10L (15yr life). The higher IT Act dep reduces taxable income more, creating a larger tax shield in early years. 
    MAT EXCEPTION: If Minimum Alternate Tax (15% of book profit under Companies Act) exceeds normal tax, the effective tax rate is higher. In that case, enter the MAT rate in the Setup tax rate cell instead of 25.17%, or use the higher of the two as a conservative assumption.</t>
  </si>
  <si>
    <t>COMPANION TEMPLATES — camsroy.com</t>
  </si>
  <si>
    <t xml:space="preserve">    Make or Buy Decision: evaluates whether to manufacture in-house — uses the same incremental investment logic</t>
  </si>
  <si>
    <t xml:space="preserve">    BESS Financial Model: full project finance model for renewable energy projects — extends this template with debt service, DSCR, and equity IRR</t>
  </si>
  <si>
    <t xml:space="preserve">    DSCR Debt Sculpting Template: for projects with significant debt — ensures each year's cash flow covers debt service</t>
  </si>
  <si>
    <t>Copyright 2025 camsroy.com  |  Free for personal and commercial use  |  www.camsroy.com</t>
  </si>
  <si>
    <t>⚖  camsroy.com  |  PROJECT COMPARISON  —  Two Mutually Exclusive Projects: A vs B</t>
  </si>
  <si>
    <t>Project A links from this workbook. Project B: enter its Year 0 to Year 10 cash flows in blue cells below. All 6 metrics compute automatically.</t>
  </si>
  <si>
    <t>💸  PROJECT B — CASH FLOW INPUTS (₹ Lakhs)  |  Year 0 = negative (investment outflow)</t>
  </si>
  <si>
    <t>Project A CF
(from Appraisal)</t>
  </si>
  <si>
    <t>Project B CF
(₹ Lakhs — Input)</t>
  </si>
  <si>
    <t>Year 0 (Investment)</t>
  </si>
  <si>
    <t>Year 0 investment — smaller project (₹50L vs A's ₹325L)</t>
  </si>
  <si>
    <t>Front-loaded returns — drives higher IRR</t>
  </si>
  <si>
    <t>Final year with operating CF (no salvage in this example)</t>
  </si>
  <si>
    <t>📊  PROJECT B — COMPUTED APPRAISAL METRICS</t>
  </si>
  <si>
    <t>Project B — WACC / Discount Rate</t>
  </si>
  <si>
    <t>Enter Project B's own WACC if different from Project A</t>
  </si>
  <si>
    <t>Project B — Reinvestment Rate (for MIRR)</t>
  </si>
  <si>
    <t>Typically same as WACC</t>
  </si>
  <si>
    <t>NPV (₹ Lakhs)</t>
  </si>
  <si>
    <t>IRR (%)</t>
  </si>
  <si>
    <t>MIRR (%)</t>
  </si>
  <si>
    <t>Profitability Index</t>
  </si>
  <si>
    <t>Payback Period (years)</t>
  </si>
  <si>
    <t>Discounted Payback (years)</t>
  </si>
  <si>
    <t>📊  SIDE-BY-SIDE COMPARISON  —  All 6 Metrics</t>
  </si>
  <si>
    <t>Metric</t>
  </si>
  <si>
    <t>Project A</t>
  </si>
  <si>
    <t>Project B</t>
  </si>
  <si>
    <t>Verdict (NPV = primary criterion)</t>
  </si>
  <si>
    <t>NPV (₹ Lakhs) ← PRIMARY</t>
  </si>
  <si>
    <t>IRR (%) ← may conflict with NPV</t>
  </si>
  <si>
    <t>Payback (years)</t>
  </si>
  <si>
    <t>🏆  FINAL RECOMMENDATION</t>
  </si>
  <si>
    <t>ℹ  NPV VS IRR CONFLICT: When projects differ in scale or timing, IRR can rank them incorrectly. A smaller project (e.g. Rs.100L investment) may show 30% IRR while a larger project (Rs.325L) shows 26% IRR — but the larger project creates Rs.234L of wealth vs Rs.85L. Shareholder wealth = NPV, not percentage return. Use IRR only as a margin-of-safety check (how far above WACC), not as a ranking tool.  |  © camsroy.com</t>
  </si>
  <si>
    <t>📋  camsroy.com  |  CAPITAL RATIONING  —  Select Optimal Project Mix Within a Fixed Budget</t>
  </si>
  <si>
    <t>Enter up to 8 candidate projects. The template ranks by Profitability Index (PI) and selects projects until the budget is exhausted. Blue = Input. Assumption: projects are divisible (soft rationing).</t>
  </si>
  <si>
    <t>💰  A. CAPITAL BUDGET CONSTRAINT</t>
  </si>
  <si>
    <t>Total Capital Budget Available (₹ Lakhs)</t>
  </si>
  <si>
    <t>Enter the total capital available. Projects will be selected by PI ranking until this is used up.</t>
  </si>
  <si>
    <t>📊  B. CANDIDATE PROJECTS — Enter NPV and Initial Investment for each</t>
  </si>
  <si>
    <t>#</t>
  </si>
  <si>
    <t>Initial
Investment (₹L)</t>
  </si>
  <si>
    <t>NPV
(₹ Lakhs)</t>
  </si>
  <si>
    <t>PI
(auto)</t>
  </si>
  <si>
    <t>PI
Rank</t>
  </si>
  <si>
    <t>Cumulative
Investment (₹L)</t>
  </si>
  <si>
    <t>Within
Budget?</t>
  </si>
  <si>
    <t>Select
(Soft Rationing)</t>
  </si>
  <si>
    <t>Notes / Description</t>
  </si>
  <si>
    <t>Solar Plant Expansion</t>
  </si>
  <si>
    <t>Small Hydro Unit</t>
  </si>
  <si>
    <t>Warehouse Automation</t>
  </si>
  <si>
    <t>New Product Line</t>
  </si>
  <si>
    <t>Export Processing Unit</t>
  </si>
  <si>
    <t>R&amp;D Facility</t>
  </si>
  <si>
    <t>ERP Implementation</t>
  </si>
  <si>
    <t>Fleet Replacement</t>
  </si>
  <si>
    <t>📈  C. PI RANKING &amp; PROJECT SELECTION (sorted by Profitability Index)</t>
  </si>
  <si>
    <t>Rank</t>
  </si>
  <si>
    <t>Project (by PI)</t>
  </si>
  <si>
    <t>PI</t>
  </si>
  <si>
    <t>Investment
(₹L)</t>
  </si>
  <si>
    <t>NPV
(₹L)</t>
  </si>
  <si>
    <t>Remaining
Budget (₹L)</t>
  </si>
  <si>
    <t>Action</t>
  </si>
  <si>
    <t>Selected
Investment (₹L)</t>
  </si>
  <si>
    <t>📊  D. OPTIMAL PORTFOLIO SUMMARY</t>
  </si>
  <si>
    <t>Total Budget Available (₹L)</t>
  </si>
  <si>
    <t>Total Investment Deployed (from Selected Projects col)</t>
  </si>
  <si>
    <t>Total NPV from Selected Portfolio</t>
  </si>
  <si>
    <t>Projects Fully Funded</t>
  </si>
  <si>
    <t>Projects Partially Funded (soft rationing)</t>
  </si>
  <si>
    <t>Unutilised Budget (Budget - Deployed)</t>
  </si>
  <si>
    <t>📖  UNDERSTANDING CAPITAL RATIONING</t>
  </si>
  <si>
    <t>▸  What is Capital Rationing?</t>
  </si>
  <si>
    <t>Capital rationing occurs when a firm has more viable investment opportunities (positive NPV projects) than available capital. The goal is to select the combination of projects that maximises total NPV within the budget constraint. This is different from single-project appraisal — here you are choosing WHICH projects to fund, not WHETHER to fund them.</t>
  </si>
  <si>
    <t>▸  Soft Rationing (Divisible Projects)</t>
  </si>
  <si>
    <t>If projects can be partially funded (e.g. invest 60% of a project), rank by Profitability Index (PI) and invest fully until budget runs out, then invest the remaining budget in the next project partially. PI ranking always gives the mathematically optimal solution for soft rationing. PI = 1 + NPV/Investment = NPV earned per rupee invested.</t>
  </si>
  <si>
    <t>▸  Hard Rationing (Indivisible Projects)</t>
  </si>
  <si>
    <t>If projects are all-or-nothing (cannot be partially funded), PI ranking gives a good approximation but NOT always the optimal solution. You may need to enumerate combinations manually. Example: Budget ₹300L, Projects A(₹200L,NPV₹120L), B(₹150L,NPV₹80L), C(₹160L,NPV₹75L). PI ranking says A+B=₹350L (exceeds budget). But B+C=₹310L (still exceeds). A alone=₹200L,NPV₹120L. Check all feasible combinations when projects are indivisible.</t>
  </si>
  <si>
    <t>▸  Why PI, not NPV, for Ranking?</t>
  </si>
  <si>
    <t>PI ranks by NPV per rupee invested — it normalises for project size. Ranking by raw NPV would always favour larger projects and waste the budget. PI ensures you get the maximum NPV per rupee deployed. Note: for mutually EXCLUSIVE projects (either/or), always use NPV directly — see the Project Comparison sheet.</t>
  </si>
  <si>
    <t>▸  Limitation of This Template</t>
  </si>
  <si>
    <t>This sheet assumes soft rationing (divisible projects). For hard rationing, use the table above to identify which projects to try in combination, then compare total NPVs manually. For more than 8 projects or integer programming, Excel Solver is needed.</t>
  </si>
  <si>
    <t>© camsroy.com  |  Capital Rationing uses Profitability Index (PI) ranking for soft rationing. For hard rationing (indivisible projects), enumerate feasible combinations. This sheet complements the Appraisal and Project Comparison sheets.  |  Free for personal &amp; commercial use.</t>
  </si>
  <si>
    <t>FY 2026-27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</si>
</sst>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0.00\x"/>
    <numFmt numFmtId="167" formatCode="0.00&quot; yrs&quot;"/>
    <numFmt numFmtId="168" formatCode="0.000\x"/>
  </numFmts>
  <fonts count="38" x14ac:knownFonts="1">
    <font>
      <sz val="11"/>
      <color theme="1"/>
      <name val="Calibri"/>
      <family val="2"/>
      <charset val="1"/>
    </font>
    <font>
      <sz val="11"/>
      <color theme="1"/>
      <name val="Times New Roman"/>
      <family val="1"/>
    </font>
    <font>
      <i/>
      <sz val="9"/>
      <color rgb="FFF3E5F5"/>
      <name val="Times New Roman"/>
      <family val="1"/>
    </font>
    <font>
      <b/>
      <sz val="18"/>
      <color rgb="FFFFFFFF"/>
      <name val="Times New Roman"/>
      <family val="1"/>
    </font>
    <font>
      <b/>
      <sz val="12"/>
      <color rgb="FFAED6F1"/>
      <name val="Times New Roman"/>
      <family val="1"/>
    </font>
    <font>
      <i/>
      <sz val="10"/>
      <color rgb="FFD7BDE2"/>
      <name val="Times New Roman"/>
      <family val="1"/>
    </font>
    <font>
      <sz val="10"/>
      <color rgb="FFAED6F1"/>
      <name val="Times New Roman"/>
      <family val="1"/>
    </font>
    <font>
      <b/>
      <sz val="10"/>
      <color rgb="FFFFFFFF"/>
      <name val="Times New Roman"/>
      <family val="1"/>
    </font>
    <font>
      <b/>
      <sz val="11"/>
      <color rgb="FFAED6F1"/>
      <name val="Times New Roman"/>
      <family val="1"/>
    </font>
    <font>
      <sz val="11"/>
      <color rgb="FFD4AC0D"/>
      <name val="Times New Roman"/>
      <family val="1"/>
    </font>
    <font>
      <sz val="9"/>
      <color rgb="FFBDC3C7"/>
      <name val="Times New Roman"/>
      <family val="1"/>
    </font>
    <font>
      <b/>
      <sz val="10"/>
      <color rgb="FFAED6F1"/>
      <name val="Times New Roman"/>
      <family val="1"/>
    </font>
    <font>
      <b/>
      <sz val="10"/>
      <color rgb="FFD4AC0D"/>
      <name val="Times New Roman"/>
      <family val="1"/>
    </font>
    <font>
      <b/>
      <sz val="9"/>
      <color rgb="FFD4AC0D"/>
      <name val="Times New Roman"/>
      <family val="1"/>
    </font>
    <font>
      <sz val="8"/>
      <color rgb="FF7F8C8D"/>
      <name val="Times New Roman"/>
      <family val="1"/>
    </font>
    <font>
      <b/>
      <sz val="22"/>
      <color rgb="FFFFC000"/>
      <name val="Times New Roman"/>
      <family val="1"/>
    </font>
    <font>
      <b/>
      <sz val="12"/>
      <color rgb="FFFFC000"/>
      <name val="Times New Roman"/>
      <family val="1"/>
    </font>
    <font>
      <i/>
      <sz val="9"/>
      <color rgb="FF555555"/>
      <name val="Times New Roman"/>
      <family val="1"/>
    </font>
    <font>
      <b/>
      <sz val="9"/>
      <color rgb="FFFFFFFF"/>
      <name val="Times New Roman"/>
      <family val="1"/>
    </font>
    <font>
      <sz val="9"/>
      <color rgb="FF000000"/>
      <name val="Times New Roman"/>
      <family val="1"/>
    </font>
    <font>
      <b/>
      <sz val="9"/>
      <color rgb="FF0000FF"/>
      <name val="Times New Roman"/>
      <family val="1"/>
    </font>
    <font>
      <i/>
      <sz val="8"/>
      <color rgb="FF555555"/>
      <name val="Times New Roman"/>
      <family val="1"/>
    </font>
    <font>
      <sz val="9"/>
      <color rgb="FF999999"/>
      <name val="Times New Roman"/>
      <family val="1"/>
    </font>
    <font>
      <sz val="9"/>
      <color rgb="FF0D1B2A"/>
      <name val="Times New Roman"/>
      <family val="1"/>
    </font>
    <font>
      <b/>
      <sz val="12"/>
      <color rgb="FFFFFFFF"/>
      <name val="Times New Roman"/>
      <family val="1"/>
    </font>
    <font>
      <sz val="9"/>
      <color rgb="FF0000FF"/>
      <name val="Times New Roman"/>
      <family val="1"/>
    </font>
    <font>
      <b/>
      <sz val="9"/>
      <color rgb="FF117A65"/>
      <name val="Times New Roman"/>
      <family val="1"/>
    </font>
    <font>
      <b/>
      <sz val="9"/>
      <color rgb="FF0D1B2A"/>
      <name val="Times New Roman"/>
      <family val="1"/>
    </font>
    <font>
      <b/>
      <sz val="11"/>
      <color rgb="FFFFFFFF"/>
      <name val="Times New Roman"/>
      <family val="1"/>
    </font>
    <font>
      <i/>
      <sz val="9"/>
      <name val="Times New Roman"/>
      <family val="1"/>
    </font>
    <font>
      <i/>
      <sz val="8"/>
      <name val="Times New Roman"/>
      <family val="1"/>
    </font>
    <font>
      <b/>
      <sz val="10"/>
      <color rgb="FF1A1A1A"/>
      <name val="Times New Roman"/>
      <family val="1"/>
    </font>
    <font>
      <sz val="9"/>
      <name val="Times New Roman"/>
      <family val="1"/>
    </font>
    <font>
      <sz val="8"/>
      <color rgb="FFAAAAAA"/>
      <name val="Times New Roman"/>
      <family val="1"/>
    </font>
    <font>
      <b/>
      <sz val="10"/>
      <color rgb="FF0D1B2A"/>
      <name val="Times New Roman"/>
      <family val="1"/>
    </font>
    <font>
      <b/>
      <sz val="12"/>
      <color rgb="FF0D1B2A"/>
      <name val="Times New Roman"/>
      <family val="1"/>
    </font>
    <font>
      <b/>
      <sz val="11"/>
      <color rgb="FF0D1B2A"/>
      <name val="Times New Roman"/>
      <family val="1"/>
    </font>
    <font>
      <sz val="7"/>
      <color rgb="FFBBBBBB"/>
      <name val="Times New Roman"/>
      <family val="1"/>
    </font>
  </fonts>
  <fills count="14">
    <fill>
      <patternFill patternType="none"/>
    </fill>
    <fill>
      <patternFill patternType="gray125"/>
    </fill>
    <fill>
      <patternFill patternType="solid">
        <fgColor rgb="FF0D1B2A"/>
        <bgColor rgb="FF1A1A1A"/>
      </patternFill>
    </fill>
    <fill>
      <patternFill patternType="solid">
        <fgColor rgb="FF6C3483"/>
        <bgColor rgb="FF993366"/>
      </patternFill>
    </fill>
    <fill>
      <patternFill patternType="solid">
        <fgColor rgb="FFD6EAF8"/>
        <bgColor rgb="FFD5F5E3"/>
      </patternFill>
    </fill>
    <fill>
      <patternFill patternType="solid">
        <fgColor rgb="FFD5F5E3"/>
        <bgColor rgb="FFD6EAF8"/>
      </patternFill>
    </fill>
    <fill>
      <patternFill patternType="solid">
        <fgColor rgb="FFD4AC0D"/>
        <bgColor rgb="FFFFCC00"/>
      </patternFill>
    </fill>
    <fill>
      <patternFill patternType="solid">
        <fgColor rgb="FFFDEDEC"/>
        <bgColor rgb="FFF2F3F4"/>
      </patternFill>
    </fill>
    <fill>
      <patternFill patternType="solid">
        <fgColor rgb="FFF2F3F4"/>
        <bgColor rgb="FFEBF5FB"/>
      </patternFill>
    </fill>
    <fill>
      <patternFill patternType="solid">
        <fgColor rgb="FF1B4F72"/>
        <bgColor rgb="FF333399"/>
      </patternFill>
    </fill>
    <fill>
      <patternFill patternType="solid">
        <fgColor rgb="FFA04000"/>
        <bgColor rgb="FF993366"/>
      </patternFill>
    </fill>
    <fill>
      <patternFill patternType="solid">
        <fgColor rgb="FFFCF3CF"/>
        <bgColor rgb="FFFDEDEC"/>
      </patternFill>
    </fill>
    <fill>
      <patternFill patternType="solid">
        <fgColor rgb="FFEBF5FB"/>
        <bgColor rgb="FFF2F3F4"/>
      </patternFill>
    </fill>
    <fill>
      <patternFill patternType="solid">
        <fgColor rgb="FF117A65"/>
        <bgColor rgb="FF008080"/>
      </patternFill>
    </fill>
  </fills>
  <borders count="5">
    <border>
      <left/>
      <right/>
      <top/>
      <bottom/>
      <diagonal/>
    </border>
    <border>
      <left/>
      <right/>
      <top/>
      <bottom style="thin">
        <color rgb="FF2E86C1"/>
      </bottom>
      <diagonal/>
    </border>
    <border>
      <left style="thin">
        <color rgb="FFBDBDBD"/>
      </left>
      <right style="thin">
        <color rgb="FFBDBDBD"/>
      </right>
      <top style="thin">
        <color rgb="FFBDBDBD"/>
      </top>
      <bottom style="thin">
        <color rgb="FFBDBDBD"/>
      </bottom>
      <diagonal/>
    </border>
    <border>
      <left style="thin">
        <color rgb="FFBDBDBD"/>
      </left>
      <right/>
      <top style="thin">
        <color rgb="FFBDBDBD"/>
      </top>
      <bottom style="thin">
        <color rgb="FFBDBDBD"/>
      </bottom>
      <diagonal/>
    </border>
    <border>
      <left style="thin">
        <color rgb="FFBDBDBD"/>
      </left>
      <right/>
      <top/>
      <bottom/>
      <diagonal/>
    </border>
  </borders>
  <cellStyleXfs count="1">
    <xf numFmtId="0" fontId="0" fillId="0" borderId="0"/>
  </cellStyleXfs>
  <cellXfs count="136">
    <xf numFmtId="0" fontId="0" fillId="0" borderId="0" xfId="0"/>
    <xf numFmtId="0" fontId="1" fillId="0" borderId="0" xfId="0" applyFont="1"/>
    <xf numFmtId="0" fontId="16" fillId="2" borderId="0" xfId="0" applyFont="1" applyFill="1" applyAlignment="1">
      <alignment horizontal="left" vertical="center" wrapText="1" indent="1"/>
    </xf>
    <xf numFmtId="0" fontId="17" fillId="8" borderId="0" xfId="0" applyFont="1" applyFill="1" applyAlignment="1">
      <alignment horizontal="left" vertical="center" wrapText="1" indent="1"/>
    </xf>
    <xf numFmtId="0" fontId="7" fillId="9" borderId="0" xfId="0" applyFont="1" applyFill="1" applyAlignment="1">
      <alignment horizontal="left" vertical="center" wrapText="1" indent="1"/>
    </xf>
    <xf numFmtId="0" fontId="18" fillId="2" borderId="2" xfId="0" applyFont="1" applyFill="1" applyBorder="1" applyAlignment="1">
      <alignment horizontal="center" vertical="center" wrapText="1"/>
    </xf>
    <xf numFmtId="0" fontId="19" fillId="8" borderId="2" xfId="0" applyFont="1" applyFill="1" applyBorder="1" applyAlignment="1">
      <alignment horizontal="left" vertical="center" wrapText="1" indent="1"/>
    </xf>
    <xf numFmtId="3" fontId="20" fillId="4" borderId="2" xfId="0" applyNumberFormat="1" applyFont="1" applyFill="1" applyBorder="1" applyAlignment="1">
      <alignment horizontal="right" vertical="center"/>
    </xf>
    <xf numFmtId="0" fontId="21" fillId="8" borderId="2" xfId="0" applyFont="1" applyFill="1" applyBorder="1" applyAlignment="1">
      <alignment horizontal="left" vertical="center" wrapText="1" indent="1"/>
    </xf>
    <xf numFmtId="164" fontId="20" fillId="4" borderId="2" xfId="0" applyNumberFormat="1" applyFont="1" applyFill="1" applyBorder="1" applyAlignment="1">
      <alignment horizontal="right" vertical="center"/>
    </xf>
    <xf numFmtId="10" fontId="20" fillId="4" borderId="2" xfId="0" applyNumberFormat="1" applyFont="1" applyFill="1" applyBorder="1" applyAlignment="1">
      <alignment horizontal="right" vertical="center"/>
    </xf>
    <xf numFmtId="9" fontId="20" fillId="4" borderId="2" xfId="0" applyNumberFormat="1" applyFont="1" applyFill="1" applyBorder="1" applyAlignment="1">
      <alignment horizontal="right" vertical="center"/>
    </xf>
    <xf numFmtId="0" fontId="7" fillId="10" borderId="0" xfId="0" applyFont="1" applyFill="1" applyAlignment="1">
      <alignment horizontal="left" vertical="center" wrapText="1" indent="1"/>
    </xf>
    <xf numFmtId="9" fontId="22" fillId="8" borderId="2" xfId="0" applyNumberFormat="1" applyFont="1" applyFill="1" applyBorder="1" applyAlignment="1">
      <alignment horizontal="right" vertical="center"/>
    </xf>
    <xf numFmtId="0" fontId="7" fillId="9" borderId="0" xfId="0" applyFont="1" applyFill="1" applyAlignment="1">
      <alignment horizontal="left" vertical="center" wrapText="1" indent="1"/>
    </xf>
    <xf numFmtId="0" fontId="19" fillId="8" borderId="2" xfId="0" applyFont="1" applyFill="1" applyBorder="1" applyAlignment="1">
      <alignment horizontal="left" vertical="center" wrapText="1" indent="1"/>
    </xf>
    <xf numFmtId="0" fontId="21" fillId="8" borderId="0" xfId="0" applyFont="1" applyFill="1" applyAlignment="1">
      <alignment horizontal="left" vertical="center" wrapText="1" indent="1"/>
    </xf>
    <xf numFmtId="0" fontId="7" fillId="10" borderId="0" xfId="0" applyFont="1" applyFill="1" applyAlignment="1">
      <alignment horizontal="left" vertical="center" wrapText="1" indent="1"/>
    </xf>
    <xf numFmtId="0" fontId="23" fillId="11" borderId="2" xfId="0" applyFont="1" applyFill="1" applyBorder="1" applyAlignment="1">
      <alignment horizontal="center" vertical="center" wrapText="1"/>
    </xf>
    <xf numFmtId="0" fontId="23" fillId="12" borderId="2" xfId="0" applyFont="1" applyFill="1" applyBorder="1" applyAlignment="1">
      <alignment horizontal="center" vertical="center" wrapText="1"/>
    </xf>
    <xf numFmtId="0" fontId="21" fillId="8" borderId="0" xfId="0" applyFont="1" applyFill="1" applyAlignment="1">
      <alignment horizontal="left" vertical="center" wrapText="1" indent="1"/>
    </xf>
    <xf numFmtId="0" fontId="21" fillId="8" borderId="0" xfId="0" applyFont="1" applyFill="1" applyAlignment="1">
      <alignment horizontal="center" vertical="center" wrapText="1"/>
    </xf>
    <xf numFmtId="0" fontId="21" fillId="8" borderId="0" xfId="0" applyFont="1" applyFill="1" applyAlignment="1">
      <alignment horizontal="left" vertical="center" wrapText="1"/>
    </xf>
    <xf numFmtId="0" fontId="24" fillId="2" borderId="0" xfId="0" applyFont="1" applyFill="1" applyAlignment="1">
      <alignment horizontal="left" vertical="center" wrapText="1" indent="1"/>
    </xf>
    <xf numFmtId="0" fontId="1" fillId="8" borderId="2" xfId="0" applyFont="1" applyFill="1" applyBorder="1"/>
    <xf numFmtId="0" fontId="18" fillId="9" borderId="2" xfId="0" applyFont="1" applyFill="1" applyBorder="1" applyAlignment="1">
      <alignment horizontal="center" vertical="center" wrapText="1"/>
    </xf>
    <xf numFmtId="4" fontId="20" fillId="4" borderId="2" xfId="0" applyNumberFormat="1" applyFont="1" applyFill="1" applyBorder="1" applyAlignment="1">
      <alignment horizontal="right" vertical="center"/>
    </xf>
    <xf numFmtId="4" fontId="25" fillId="4" borderId="2" xfId="0" applyNumberFormat="1" applyFont="1" applyFill="1" applyBorder="1" applyAlignment="1">
      <alignment horizontal="right" vertical="center"/>
    </xf>
    <xf numFmtId="0" fontId="7" fillId="3" borderId="2" xfId="0" applyFont="1" applyFill="1" applyBorder="1" applyAlignment="1">
      <alignment horizontal="left" vertical="center" wrapText="1" indent="1"/>
    </xf>
    <xf numFmtId="4" fontId="7" fillId="3" borderId="2" xfId="0" applyNumberFormat="1" applyFont="1" applyFill="1" applyBorder="1" applyAlignment="1">
      <alignment horizontal="right" vertical="center"/>
    </xf>
    <xf numFmtId="4" fontId="26" fillId="5" borderId="2" xfId="0" applyNumberFormat="1" applyFont="1" applyFill="1" applyBorder="1" applyAlignment="1">
      <alignment horizontal="right" vertical="center"/>
    </xf>
    <xf numFmtId="0" fontId="27" fillId="6" borderId="2" xfId="0" applyFont="1" applyFill="1" applyBorder="1" applyAlignment="1">
      <alignment horizontal="left" vertical="center" wrapText="1" indent="1"/>
    </xf>
    <xf numFmtId="4" fontId="27" fillId="6" borderId="2" xfId="0" applyNumberFormat="1" applyFont="1" applyFill="1" applyBorder="1" applyAlignment="1">
      <alignment horizontal="right" vertical="center"/>
    </xf>
    <xf numFmtId="0" fontId="1" fillId="6" borderId="2" xfId="0" applyFont="1" applyFill="1" applyBorder="1"/>
    <xf numFmtId="0" fontId="7" fillId="2" borderId="0" xfId="0" applyFont="1" applyFill="1" applyAlignment="1">
      <alignment horizontal="left" vertical="center" wrapText="1" indent="1"/>
    </xf>
    <xf numFmtId="0" fontId="28" fillId="2" borderId="2" xfId="0" applyFont="1" applyFill="1" applyBorder="1" applyAlignment="1">
      <alignment horizontal="left" vertical="center" wrapText="1" indent="1"/>
    </xf>
    <xf numFmtId="4" fontId="28" fillId="2" borderId="2" xfId="0" applyNumberFormat="1" applyFont="1" applyFill="1" applyBorder="1" applyAlignment="1">
      <alignment horizontal="right" vertical="center"/>
    </xf>
    <xf numFmtId="0" fontId="1" fillId="2" borderId="2" xfId="0" applyFont="1" applyFill="1" applyBorder="1"/>
    <xf numFmtId="0" fontId="1" fillId="3" borderId="2" xfId="0" applyFont="1" applyFill="1" applyBorder="1"/>
    <xf numFmtId="0" fontId="29" fillId="8" borderId="0" xfId="0" applyFont="1" applyFill="1" applyAlignment="1">
      <alignment horizontal="left" vertical="center" wrapText="1" indent="1"/>
    </xf>
    <xf numFmtId="0" fontId="27" fillId="8" borderId="2" xfId="0" applyFont="1" applyFill="1" applyBorder="1" applyAlignment="1">
      <alignment horizontal="left" vertical="center" wrapText="1" indent="1"/>
    </xf>
    <xf numFmtId="4" fontId="27" fillId="8" borderId="2" xfId="0" applyNumberFormat="1" applyFont="1" applyFill="1" applyBorder="1" applyAlignment="1">
      <alignment horizontal="right" vertical="center"/>
    </xf>
    <xf numFmtId="164" fontId="21" fillId="8" borderId="2" xfId="0" applyNumberFormat="1" applyFont="1" applyFill="1" applyBorder="1" applyAlignment="1">
      <alignment horizontal="right" vertical="center"/>
    </xf>
    <xf numFmtId="0" fontId="7" fillId="2" borderId="2" xfId="0" applyFont="1" applyFill="1" applyBorder="1" applyAlignment="1">
      <alignment horizontal="left" vertical="center" wrapText="1" indent="1"/>
    </xf>
    <xf numFmtId="4" fontId="7" fillId="2" borderId="2" xfId="0" applyNumberFormat="1" applyFont="1" applyFill="1" applyBorder="1" applyAlignment="1">
      <alignment horizontal="right" vertical="center"/>
    </xf>
    <xf numFmtId="0" fontId="28" fillId="3" borderId="2" xfId="0" applyFont="1" applyFill="1" applyBorder="1" applyAlignment="1">
      <alignment horizontal="left" vertical="center" wrapText="1" indent="1"/>
    </xf>
    <xf numFmtId="4" fontId="28" fillId="3" borderId="2" xfId="0" applyNumberFormat="1" applyFont="1" applyFill="1" applyBorder="1" applyAlignment="1">
      <alignment horizontal="right" vertical="center"/>
    </xf>
    <xf numFmtId="0" fontId="30" fillId="8" borderId="0" xfId="0" applyFont="1" applyFill="1" applyAlignment="1">
      <alignment horizontal="left" vertical="center" wrapText="1" indent="1"/>
    </xf>
    <xf numFmtId="0" fontId="7" fillId="3" borderId="0" xfId="0" applyFont="1" applyFill="1" applyAlignment="1">
      <alignment horizontal="left" vertical="center" wrapText="1" indent="1"/>
    </xf>
    <xf numFmtId="0" fontId="7" fillId="2" borderId="0" xfId="0" applyFont="1" applyFill="1" applyAlignment="1">
      <alignment horizontal="left" vertical="center" wrapText="1" indent="1"/>
    </xf>
    <xf numFmtId="0" fontId="31" fillId="6" borderId="2" xfId="0" applyFont="1" applyFill="1" applyBorder="1" applyAlignment="1">
      <alignment horizontal="left" vertical="center" wrapText="1" indent="1"/>
    </xf>
    <xf numFmtId="4" fontId="31" fillId="6" borderId="2" xfId="0" applyNumberFormat="1" applyFont="1" applyFill="1" applyBorder="1" applyAlignment="1">
      <alignment horizontal="right" vertical="center"/>
    </xf>
    <xf numFmtId="4" fontId="30" fillId="8" borderId="2" xfId="0" applyNumberFormat="1" applyFont="1" applyFill="1" applyBorder="1" applyAlignment="1">
      <alignment horizontal="right" vertical="center"/>
    </xf>
    <xf numFmtId="0" fontId="32" fillId="8" borderId="2" xfId="0" applyFont="1" applyFill="1" applyBorder="1" applyAlignment="1">
      <alignment horizontal="left" vertical="center" wrapText="1" indent="1"/>
    </xf>
    <xf numFmtId="0" fontId="18" fillId="3" borderId="2" xfId="0" applyFont="1" applyFill="1" applyBorder="1" applyAlignment="1">
      <alignment horizontal="left" vertical="center" wrapText="1" indent="1"/>
    </xf>
    <xf numFmtId="4" fontId="18" fillId="3" borderId="2" xfId="0" applyNumberFormat="1" applyFont="1" applyFill="1" applyBorder="1" applyAlignment="1">
      <alignment horizontal="right" vertical="center"/>
    </xf>
    <xf numFmtId="0" fontId="21" fillId="8" borderId="4" xfId="0" applyFont="1" applyFill="1" applyBorder="1" applyAlignment="1">
      <alignment horizontal="center" vertical="center" wrapText="1"/>
    </xf>
    <xf numFmtId="0" fontId="30" fillId="8" borderId="0" xfId="0" applyFont="1" applyFill="1" applyAlignment="1">
      <alignment horizontal="left" vertical="center" wrapText="1"/>
    </xf>
    <xf numFmtId="0" fontId="27" fillId="7" borderId="2" xfId="0" applyFont="1" applyFill="1" applyBorder="1" applyAlignment="1">
      <alignment horizontal="left" vertical="center" wrapText="1" indent="1"/>
    </xf>
    <xf numFmtId="4" fontId="27" fillId="7" borderId="2" xfId="0" applyNumberFormat="1" applyFont="1" applyFill="1" applyBorder="1" applyAlignment="1">
      <alignment horizontal="right" vertical="center"/>
    </xf>
    <xf numFmtId="0" fontId="19" fillId="8" borderId="2" xfId="0" applyFont="1" applyFill="1" applyBorder="1" applyAlignment="1">
      <alignment horizontal="right" vertical="center"/>
    </xf>
    <xf numFmtId="4" fontId="33" fillId="0" borderId="0" xfId="0" applyNumberFormat="1" applyFont="1"/>
    <xf numFmtId="4" fontId="19" fillId="8" borderId="2" xfId="0" applyNumberFormat="1" applyFont="1" applyFill="1" applyBorder="1" applyAlignment="1">
      <alignment horizontal="right" vertical="center"/>
    </xf>
    <xf numFmtId="165" fontId="19" fillId="8" borderId="2" xfId="0" applyNumberFormat="1" applyFont="1" applyFill="1" applyBorder="1" applyAlignment="1">
      <alignment horizontal="right" vertical="center"/>
    </xf>
    <xf numFmtId="0" fontId="18" fillId="2" borderId="2" xfId="0" applyFont="1" applyFill="1" applyBorder="1" applyAlignment="1">
      <alignment horizontal="left" vertical="center" wrapText="1" indent="1"/>
    </xf>
    <xf numFmtId="4" fontId="18" fillId="2" borderId="2" xfId="0" applyNumberFormat="1" applyFont="1" applyFill="1" applyBorder="1" applyAlignment="1">
      <alignment horizontal="right" vertical="center"/>
    </xf>
    <xf numFmtId="0" fontId="28" fillId="10" borderId="0" xfId="0" applyFont="1" applyFill="1" applyAlignment="1">
      <alignment horizontal="left" vertical="center" wrapText="1" indent="1"/>
    </xf>
    <xf numFmtId="2" fontId="34" fillId="6" borderId="2" xfId="0" applyNumberFormat="1" applyFont="1" applyFill="1" applyBorder="1" applyAlignment="1">
      <alignment horizontal="right" vertical="center"/>
    </xf>
    <xf numFmtId="3" fontId="19" fillId="8" borderId="2" xfId="0" applyNumberFormat="1" applyFont="1" applyFill="1" applyBorder="1" applyAlignment="1">
      <alignment horizontal="right" vertical="center"/>
    </xf>
    <xf numFmtId="4" fontId="35" fillId="6" borderId="2" xfId="0" applyNumberFormat="1" applyFont="1" applyFill="1" applyBorder="1" applyAlignment="1">
      <alignment horizontal="right" vertical="center"/>
    </xf>
    <xf numFmtId="0" fontId="19" fillId="8" borderId="2" xfId="0" applyFont="1" applyFill="1" applyBorder="1" applyAlignment="1">
      <alignment horizontal="center" vertical="center" wrapText="1"/>
    </xf>
    <xf numFmtId="4" fontId="21" fillId="8" borderId="2" xfId="0" applyNumberFormat="1" applyFont="1" applyFill="1" applyBorder="1" applyAlignment="1">
      <alignment horizontal="right" vertical="center"/>
    </xf>
    <xf numFmtId="164" fontId="36" fillId="6" borderId="2" xfId="0" applyNumberFormat="1" applyFont="1" applyFill="1" applyBorder="1" applyAlignment="1">
      <alignment horizontal="right" vertical="center"/>
    </xf>
    <xf numFmtId="164" fontId="19" fillId="8" borderId="2" xfId="0" applyNumberFormat="1" applyFont="1" applyFill="1" applyBorder="1" applyAlignment="1">
      <alignment horizontal="right" vertical="center"/>
    </xf>
    <xf numFmtId="0" fontId="21" fillId="8" borderId="3" xfId="0" applyFont="1" applyFill="1" applyBorder="1" applyAlignment="1">
      <alignment horizontal="center" vertical="center" wrapText="1"/>
    </xf>
    <xf numFmtId="166" fontId="36" fillId="6" borderId="2" xfId="0" applyNumberFormat="1" applyFont="1" applyFill="1" applyBorder="1" applyAlignment="1">
      <alignment horizontal="right" vertical="center"/>
    </xf>
    <xf numFmtId="0" fontId="24" fillId="2" borderId="2" xfId="0" applyFont="1" applyFill="1" applyBorder="1" applyAlignment="1">
      <alignment horizontal="left" vertical="center" wrapText="1" indent="1"/>
    </xf>
    <xf numFmtId="0" fontId="27" fillId="12" borderId="2" xfId="0" applyFont="1" applyFill="1" applyBorder="1" applyAlignment="1">
      <alignment horizontal="left" vertical="center" wrapText="1" indent="1"/>
    </xf>
    <xf numFmtId="4" fontId="34" fillId="11" borderId="2" xfId="0" applyNumberFormat="1" applyFont="1" applyFill="1" applyBorder="1" applyAlignment="1">
      <alignment horizontal="right" vertical="center"/>
    </xf>
    <xf numFmtId="167" fontId="19" fillId="8" borderId="2" xfId="0" applyNumberFormat="1" applyFont="1" applyFill="1" applyBorder="1" applyAlignment="1">
      <alignment horizontal="right" vertical="center"/>
    </xf>
    <xf numFmtId="168" fontId="19" fillId="8" borderId="2" xfId="0" applyNumberFormat="1" applyFont="1" applyFill="1" applyBorder="1" applyAlignment="1">
      <alignment horizontal="right" vertical="center"/>
    </xf>
    <xf numFmtId="0" fontId="34" fillId="8" borderId="0" xfId="0" applyFont="1" applyFill="1" applyAlignment="1">
      <alignment horizontal="left" vertical="center" wrapText="1" indent="1"/>
    </xf>
    <xf numFmtId="0" fontId="19" fillId="8" borderId="0" xfId="0" applyFont="1" applyFill="1" applyAlignment="1">
      <alignment horizontal="left" vertical="center" wrapText="1" indent="2"/>
    </xf>
    <xf numFmtId="4" fontId="37" fillId="0" borderId="0" xfId="0" applyNumberFormat="1" applyFont="1"/>
    <xf numFmtId="164" fontId="26" fillId="5" borderId="2" xfId="0" applyNumberFormat="1" applyFont="1" applyFill="1" applyBorder="1" applyAlignment="1">
      <alignment horizontal="right" vertical="center"/>
    </xf>
    <xf numFmtId="166" fontId="26" fillId="5" borderId="2" xfId="0" applyNumberFormat="1" applyFont="1" applyFill="1" applyBorder="1" applyAlignment="1">
      <alignment horizontal="right" vertical="center"/>
    </xf>
    <xf numFmtId="2" fontId="26" fillId="5" borderId="2" xfId="0" applyNumberFormat="1" applyFont="1" applyFill="1" applyBorder="1" applyAlignment="1">
      <alignment horizontal="right" vertical="center"/>
    </xf>
    <xf numFmtId="2" fontId="27" fillId="5" borderId="2" xfId="0" applyNumberFormat="1" applyFont="1" applyFill="1" applyBorder="1" applyAlignment="1">
      <alignment horizontal="right" vertical="center"/>
    </xf>
    <xf numFmtId="0" fontId="28" fillId="2" borderId="0" xfId="0" applyFont="1" applyFill="1" applyAlignment="1">
      <alignment horizontal="left" vertical="center" wrapText="1" indent="1"/>
    </xf>
    <xf numFmtId="4" fontId="34" fillId="6" borderId="2" xfId="0" applyNumberFormat="1" applyFont="1" applyFill="1" applyBorder="1" applyAlignment="1">
      <alignment horizontal="right" vertical="center"/>
    </xf>
    <xf numFmtId="0" fontId="19" fillId="11" borderId="2" xfId="0" applyFont="1" applyFill="1" applyBorder="1" applyAlignment="1">
      <alignment horizontal="left" vertical="center" wrapText="1" indent="1"/>
    </xf>
    <xf numFmtId="164" fontId="26" fillId="11" borderId="2" xfId="0" applyNumberFormat="1" applyFont="1" applyFill="1" applyBorder="1" applyAlignment="1">
      <alignment horizontal="right" vertical="center"/>
    </xf>
    <xf numFmtId="0" fontId="21" fillId="11" borderId="2" xfId="0" applyFont="1" applyFill="1" applyBorder="1" applyAlignment="1">
      <alignment horizontal="left" vertical="center" wrapText="1" indent="1"/>
    </xf>
    <xf numFmtId="164" fontId="26" fillId="8" borderId="2" xfId="0" applyNumberFormat="1" applyFont="1" applyFill="1" applyBorder="1" applyAlignment="1">
      <alignment horizontal="right" vertical="center"/>
    </xf>
    <xf numFmtId="166" fontId="26" fillId="8" borderId="2" xfId="0" applyNumberFormat="1" applyFont="1" applyFill="1" applyBorder="1" applyAlignment="1">
      <alignment horizontal="right" vertical="center"/>
    </xf>
    <xf numFmtId="2" fontId="26" fillId="8" borderId="2" xfId="0" applyNumberFormat="1" applyFont="1" applyFill="1" applyBorder="1" applyAlignment="1">
      <alignment horizontal="right" vertical="center"/>
    </xf>
    <xf numFmtId="0" fontId="25" fillId="4" borderId="2" xfId="0" applyFont="1" applyFill="1" applyBorder="1" applyAlignment="1">
      <alignment horizontal="left" vertical="center" wrapText="1" indent="1"/>
    </xf>
    <xf numFmtId="168" fontId="26" fillId="5" borderId="2" xfId="0" applyNumberFormat="1" applyFont="1" applyFill="1" applyBorder="1" applyAlignment="1">
      <alignment horizontal="right" vertical="center"/>
    </xf>
    <xf numFmtId="0" fontId="26" fillId="5" borderId="2" xfId="0" applyFont="1" applyFill="1" applyBorder="1" applyAlignment="1">
      <alignment horizontal="center" vertical="center" wrapText="1"/>
    </xf>
    <xf numFmtId="0" fontId="7" fillId="13" borderId="0" xfId="0" applyFont="1" applyFill="1" applyAlignment="1">
      <alignment horizontal="left" vertical="center" wrapText="1" indent="1"/>
    </xf>
    <xf numFmtId="0" fontId="18" fillId="3" borderId="2" xfId="0" applyFont="1" applyFill="1" applyBorder="1" applyAlignment="1">
      <alignment horizontal="center" vertical="center" wrapText="1"/>
    </xf>
    <xf numFmtId="168" fontId="18" fillId="3" borderId="2" xfId="0" applyNumberFormat="1" applyFont="1" applyFill="1" applyBorder="1" applyAlignment="1">
      <alignment horizontal="right" vertical="center"/>
    </xf>
    <xf numFmtId="4" fontId="34" fillId="4" borderId="2" xfId="0" applyNumberFormat="1" applyFont="1" applyFill="1" applyBorder="1" applyAlignment="1">
      <alignment horizontal="right" vertical="center"/>
    </xf>
    <xf numFmtId="0" fontId="1" fillId="8" borderId="0" xfId="0" applyFont="1" applyFill="1"/>
    <xf numFmtId="4" fontId="34" fillId="5" borderId="2" xfId="0" applyNumberFormat="1" applyFont="1" applyFill="1" applyBorder="1" applyAlignment="1">
      <alignment horizontal="right" vertical="center"/>
    </xf>
    <xf numFmtId="3" fontId="34" fillId="5" borderId="2" xfId="0" applyNumberFormat="1" applyFont="1" applyFill="1" applyBorder="1" applyAlignment="1">
      <alignment horizontal="right" vertical="center"/>
    </xf>
    <xf numFmtId="3" fontId="34" fillId="11" borderId="2" xfId="0" applyNumberFormat="1" applyFont="1" applyFill="1" applyBorder="1" applyAlignment="1">
      <alignment horizontal="right" vertical="center"/>
    </xf>
    <xf numFmtId="4" fontId="34" fillId="8" borderId="2" xfId="0" applyNumberFormat="1" applyFont="1" applyFill="1" applyBorder="1" applyAlignment="1">
      <alignment horizontal="right" vertical="center"/>
    </xf>
    <xf numFmtId="0" fontId="27" fillId="11" borderId="2" xfId="0" applyFont="1" applyFill="1" applyBorder="1" applyAlignment="1">
      <alignment horizontal="left" vertical="center" wrapText="1" indent="1"/>
    </xf>
    <xf numFmtId="0" fontId="19" fillId="8" borderId="0" xfId="0" applyFont="1" applyFill="1" applyAlignment="1">
      <alignment horizontal="left" vertical="center" wrapText="1" indent="1"/>
    </xf>
    <xf numFmtId="0" fontId="1" fillId="2" borderId="0" xfId="0" applyFont="1" applyFill="1" applyProtection="1">
      <protection locked="0"/>
    </xf>
    <xf numFmtId="0" fontId="1" fillId="0" borderId="0" xfId="0" applyFont="1" applyProtection="1">
      <protection locked="0"/>
    </xf>
    <xf numFmtId="0" fontId="1" fillId="3" borderId="0" xfId="0" applyFont="1" applyFill="1" applyProtection="1">
      <protection locked="0"/>
    </xf>
    <xf numFmtId="0" fontId="6" fillId="2" borderId="0" xfId="0" applyFont="1" applyFill="1" applyAlignment="1" applyProtection="1">
      <alignment horizontal="left" vertical="center" wrapText="1" indent="1"/>
      <protection locked="0"/>
    </xf>
    <xf numFmtId="0" fontId="7" fillId="2" borderId="1" xfId="0" applyFont="1" applyFill="1" applyBorder="1" applyAlignment="1" applyProtection="1">
      <alignment horizontal="left" vertical="center" wrapText="1" indent="1"/>
      <protection locked="0"/>
    </xf>
    <xf numFmtId="0" fontId="8" fillId="2" borderId="0" xfId="0" applyFont="1" applyFill="1" applyAlignment="1" applyProtection="1">
      <alignment horizontal="left" vertical="center" wrapText="1"/>
      <protection locked="0"/>
    </xf>
    <xf numFmtId="0" fontId="9" fillId="2" borderId="0" xfId="0" applyFont="1" applyFill="1" applyAlignment="1" applyProtection="1">
      <alignment horizontal="center" vertical="center" wrapText="1"/>
      <protection locked="0"/>
    </xf>
    <xf numFmtId="0" fontId="10" fillId="2" borderId="0" xfId="0" applyFont="1" applyFill="1" applyAlignment="1" applyProtection="1">
      <alignment horizontal="left" vertical="center" wrapText="1" indent="1"/>
      <protection locked="0"/>
    </xf>
    <xf numFmtId="0" fontId="1" fillId="2" borderId="0" xfId="0" applyFont="1" applyFill="1" applyProtection="1">
      <protection locked="0"/>
    </xf>
    <xf numFmtId="0" fontId="11" fillId="2" borderId="0" xfId="0" applyFont="1" applyFill="1" applyAlignment="1" applyProtection="1">
      <alignment horizontal="left" vertical="center" wrapText="1"/>
      <protection locked="0"/>
    </xf>
    <xf numFmtId="0" fontId="1" fillId="0" borderId="0" xfId="0" applyFont="1" applyProtection="1">
      <protection locked="0"/>
    </xf>
    <xf numFmtId="0" fontId="1" fillId="4" borderId="0" xfId="0" applyFont="1" applyFill="1" applyProtection="1">
      <protection locked="0"/>
    </xf>
    <xf numFmtId="0" fontId="10" fillId="2" borderId="0" xfId="0" applyFont="1" applyFill="1" applyAlignment="1" applyProtection="1">
      <alignment horizontal="left" vertical="center" wrapText="1" indent="1"/>
      <protection locked="0"/>
    </xf>
    <xf numFmtId="0" fontId="1" fillId="5" borderId="0" xfId="0" applyFont="1" applyFill="1" applyProtection="1">
      <protection locked="0"/>
    </xf>
    <xf numFmtId="0" fontId="1" fillId="6" borderId="0" xfId="0" applyFont="1" applyFill="1" applyProtection="1">
      <protection locked="0"/>
    </xf>
    <xf numFmtId="0" fontId="1" fillId="7" borderId="0" xfId="0" applyFont="1" applyFill="1" applyProtection="1">
      <protection locked="0"/>
    </xf>
    <xf numFmtId="0" fontId="12" fillId="2" borderId="0" xfId="0" applyFont="1" applyFill="1" applyAlignment="1" applyProtection="1">
      <alignment horizontal="left" vertical="center" wrapText="1"/>
      <protection locked="0"/>
    </xf>
    <xf numFmtId="0" fontId="13" fillId="2" borderId="0" xfId="0" applyFont="1" applyFill="1" applyAlignment="1" applyProtection="1">
      <alignment horizontal="center" vertical="center" wrapText="1"/>
      <protection locked="0"/>
    </xf>
    <xf numFmtId="0" fontId="14" fillId="2" borderId="0" xfId="0" applyFont="1" applyFill="1" applyAlignment="1" applyProtection="1">
      <alignment horizontal="center" vertical="center" wrapText="1"/>
      <protection locked="0"/>
    </xf>
    <xf numFmtId="0" fontId="1" fillId="2" borderId="0" xfId="0" applyFont="1" applyFill="1" applyProtection="1"/>
    <xf numFmtId="0" fontId="15" fillId="2" borderId="0" xfId="0" applyFont="1" applyFill="1" applyAlignment="1" applyProtection="1">
      <alignment horizontal="left" vertical="center" wrapText="1"/>
    </xf>
    <xf numFmtId="0" fontId="1" fillId="3" borderId="0" xfId="0" applyFont="1" applyFill="1" applyProtection="1"/>
    <xf numFmtId="0" fontId="2" fillId="3" borderId="0" xfId="0" applyFont="1" applyFill="1" applyAlignment="1" applyProtection="1">
      <alignment horizontal="left" vertical="center" wrapText="1" indent="1"/>
    </xf>
    <xf numFmtId="0" fontId="3" fillId="2" borderId="0" xfId="0" applyFont="1" applyFill="1" applyAlignment="1" applyProtection="1">
      <alignment horizontal="left" vertical="center"/>
    </xf>
    <xf numFmtId="0" fontId="4" fillId="2" borderId="0" xfId="0" applyFont="1" applyFill="1" applyAlignment="1" applyProtection="1">
      <alignment horizontal="left" vertical="center" wrapText="1"/>
    </xf>
    <xf numFmtId="0" fontId="5" fillId="2" borderId="0" xfId="0" applyFont="1" applyFill="1" applyAlignment="1" applyProtection="1">
      <alignment horizontal="lef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2F3F4"/>
      <rgbColor rgb="FFFF00FF"/>
      <rgbColor rgb="FF00FFFF"/>
      <rgbColor rgb="FF800000"/>
      <rgbColor rgb="FF008000"/>
      <rgbColor rgb="FF000080"/>
      <rgbColor rgb="FF808000"/>
      <rgbColor rgb="FF800080"/>
      <rgbColor rgb="FF117A65"/>
      <rgbColor rgb="FFBDBDBD"/>
      <rgbColor rgb="FF7F8C8D"/>
      <rgbColor rgb="FFAAAAAA"/>
      <rgbColor rgb="FF6C3483"/>
      <rgbColor rgb="FFFCF3CF"/>
      <rgbColor rgb="FFD6EAF8"/>
      <rgbColor rgb="FF660066"/>
      <rgbColor rgb="FFFF8080"/>
      <rgbColor rgb="FF0066CC"/>
      <rgbColor rgb="FFD7BDE2"/>
      <rgbColor rgb="FF000080"/>
      <rgbColor rgb="FFFF00FF"/>
      <rgbColor rgb="FFFFFF00"/>
      <rgbColor rgb="FF00FFFF"/>
      <rgbColor rgb="FF800080"/>
      <rgbColor rgb="FF800000"/>
      <rgbColor rgb="FF008080"/>
      <rgbColor rgb="FF0000FF"/>
      <rgbColor rgb="FF00CCFF"/>
      <rgbColor rgb="FFEBF5FB"/>
      <rgbColor rgb="FFD5F5E3"/>
      <rgbColor rgb="FFFDEDEC"/>
      <rgbColor rgb="FFAED6F1"/>
      <rgbColor rgb="FFBDC3C7"/>
      <rgbColor rgb="FFBBBBBB"/>
      <rgbColor rgb="FFF3E5F5"/>
      <rgbColor rgb="FF2E86C1"/>
      <rgbColor rgb="FF33CCCC"/>
      <rgbColor rgb="FF99CC00"/>
      <rgbColor rgb="FFFFCC00"/>
      <rgbColor rgb="FFD4AC0D"/>
      <rgbColor rgb="FFFF6600"/>
      <rgbColor rgb="FF555555"/>
      <rgbColor rgb="FF999999"/>
      <rgbColor rgb="FF1B4F72"/>
      <rgbColor rgb="FF339966"/>
      <rgbColor rgb="FF0D1B2A"/>
      <rgbColor rgb="FF333300"/>
      <rgbColor rgb="FFA04000"/>
      <rgbColor rgb="FF993366"/>
      <rgbColor rgb="FF333399"/>
      <rgbColor rgb="FF1A1A1A"/>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D1B2A"/>
  </sheetPr>
  <dimension ref="A1:D62"/>
  <sheetViews>
    <sheetView zoomScaleNormal="100" workbookViewId="0">
      <selection sqref="A1:D11"/>
    </sheetView>
  </sheetViews>
  <sheetFormatPr defaultColWidth="8.7109375" defaultRowHeight="15" x14ac:dyDescent="0.25"/>
  <cols>
    <col min="1" max="1" width="3" style="111" customWidth="1"/>
    <col min="2" max="2" width="32" style="111" customWidth="1"/>
    <col min="3" max="3" width="60" style="111" customWidth="1"/>
    <col min="4" max="4" width="28" style="111" customWidth="1"/>
    <col min="5" max="16384" width="8.7109375" style="111"/>
  </cols>
  <sheetData>
    <row r="1" spans="1:4" ht="18" customHeight="1" x14ac:dyDescent="0.25">
      <c r="A1" s="129"/>
      <c r="B1" s="129"/>
      <c r="C1" s="129"/>
      <c r="D1" s="129"/>
    </row>
    <row r="2" spans="1:4" ht="31.5" customHeight="1" x14ac:dyDescent="0.25">
      <c r="A2" s="129"/>
      <c r="B2" s="130" t="s">
        <v>0</v>
      </c>
      <c r="C2" s="130"/>
      <c r="D2" s="129"/>
    </row>
    <row r="3" spans="1:4" ht="27.75" customHeight="1" x14ac:dyDescent="0.25">
      <c r="A3" s="129"/>
      <c r="B3" s="130"/>
      <c r="C3" s="130"/>
      <c r="D3" s="129"/>
    </row>
    <row r="4" spans="1:4" ht="18" customHeight="1" x14ac:dyDescent="0.25">
      <c r="A4" s="131"/>
      <c r="B4" s="132" t="s">
        <v>1</v>
      </c>
      <c r="C4" s="132"/>
      <c r="D4" s="131"/>
    </row>
    <row r="5" spans="1:4" ht="18" customHeight="1" x14ac:dyDescent="0.25">
      <c r="A5" s="131"/>
      <c r="B5" s="132"/>
      <c r="C5" s="132"/>
      <c r="D5" s="131"/>
    </row>
    <row r="6" spans="1:4" ht="18" customHeight="1" x14ac:dyDescent="0.25">
      <c r="A6" s="129"/>
      <c r="B6" s="129"/>
      <c r="C6" s="129"/>
      <c r="D6" s="129"/>
    </row>
    <row r="7" spans="1:4" ht="7.5" customHeight="1" x14ac:dyDescent="0.25">
      <c r="A7" s="129"/>
      <c r="B7" s="129"/>
      <c r="C7" s="129"/>
      <c r="D7" s="129"/>
    </row>
    <row r="8" spans="1:4" ht="33.75" customHeight="1" x14ac:dyDescent="0.25">
      <c r="A8" s="129"/>
      <c r="B8" s="133" t="s">
        <v>2</v>
      </c>
      <c r="C8" s="133"/>
      <c r="D8" s="133"/>
    </row>
    <row r="9" spans="1:4" ht="27.75" customHeight="1" x14ac:dyDescent="0.25">
      <c r="A9" s="129"/>
      <c r="B9" s="133"/>
      <c r="C9" s="133"/>
      <c r="D9" s="133"/>
    </row>
    <row r="10" spans="1:4" ht="21.75" customHeight="1" x14ac:dyDescent="0.25">
      <c r="A10" s="129"/>
      <c r="B10" s="134" t="s">
        <v>3</v>
      </c>
      <c r="C10" s="134"/>
      <c r="D10" s="129"/>
    </row>
    <row r="11" spans="1:4" ht="18" customHeight="1" x14ac:dyDescent="0.25">
      <c r="A11" s="129"/>
      <c r="B11" s="135" t="s">
        <v>4</v>
      </c>
      <c r="C11" s="135"/>
      <c r="D11" s="129"/>
    </row>
    <row r="12" spans="1:4" ht="18" customHeight="1" x14ac:dyDescent="0.25">
      <c r="A12" s="110"/>
      <c r="B12" s="110"/>
      <c r="C12" s="110"/>
      <c r="D12" s="110"/>
    </row>
    <row r="13" spans="1:4" ht="3" customHeight="1" x14ac:dyDescent="0.25">
      <c r="A13" s="110"/>
      <c r="B13" s="112"/>
      <c r="C13" s="112"/>
      <c r="D13" s="112"/>
    </row>
    <row r="14" spans="1:4" ht="18" customHeight="1" x14ac:dyDescent="0.25">
      <c r="A14" s="110"/>
      <c r="B14" s="110"/>
      <c r="C14" s="110"/>
      <c r="D14" s="110"/>
    </row>
    <row r="15" spans="1:4" ht="19.5" customHeight="1" x14ac:dyDescent="0.25">
      <c r="A15" s="110"/>
      <c r="B15" s="113" t="s">
        <v>5</v>
      </c>
      <c r="C15" s="114" t="s">
        <v>6</v>
      </c>
      <c r="D15" s="110"/>
    </row>
    <row r="16" spans="1:4" ht="19.5" customHeight="1" x14ac:dyDescent="0.25">
      <c r="A16" s="110"/>
      <c r="B16" s="113" t="s">
        <v>7</v>
      </c>
      <c r="C16" s="114" t="s">
        <v>8</v>
      </c>
      <c r="D16" s="110"/>
    </row>
    <row r="17" spans="1:4" ht="19.5" customHeight="1" x14ac:dyDescent="0.25">
      <c r="A17" s="110"/>
      <c r="B17" s="113" t="s">
        <v>9</v>
      </c>
      <c r="C17" s="114" t="s">
        <v>356</v>
      </c>
      <c r="D17" s="110"/>
    </row>
    <row r="18" spans="1:4" ht="19.5" customHeight="1" x14ac:dyDescent="0.25">
      <c r="A18" s="110"/>
      <c r="B18" s="113" t="s">
        <v>10</v>
      </c>
      <c r="C18" s="114" t="s">
        <v>11</v>
      </c>
      <c r="D18" s="110"/>
    </row>
    <row r="19" spans="1:4" ht="19.5" customHeight="1" x14ac:dyDescent="0.25">
      <c r="A19" s="110"/>
      <c r="B19" s="113" t="s">
        <v>12</v>
      </c>
      <c r="C19" s="114" t="s">
        <v>13</v>
      </c>
      <c r="D19" s="110"/>
    </row>
    <row r="20" spans="1:4" ht="18" customHeight="1" x14ac:dyDescent="0.25">
      <c r="A20" s="110"/>
      <c r="B20" s="110"/>
      <c r="C20" s="110"/>
      <c r="D20" s="110"/>
    </row>
    <row r="21" spans="1:4" ht="7.5" customHeight="1" x14ac:dyDescent="0.25">
      <c r="A21" s="110"/>
      <c r="B21" s="110"/>
      <c r="C21" s="110"/>
      <c r="D21" s="110"/>
    </row>
    <row r="22" spans="1:4" ht="21.75" customHeight="1" x14ac:dyDescent="0.25">
      <c r="A22" s="110"/>
      <c r="B22" s="115" t="s">
        <v>14</v>
      </c>
      <c r="C22" s="115"/>
      <c r="D22" s="110"/>
    </row>
    <row r="23" spans="1:4" ht="29.25" customHeight="1" x14ac:dyDescent="0.25">
      <c r="A23" s="110"/>
      <c r="B23" s="116" t="s">
        <v>15</v>
      </c>
      <c r="C23" s="117" t="s">
        <v>16</v>
      </c>
      <c r="D23" s="110"/>
    </row>
    <row r="24" spans="1:4" ht="29.25" customHeight="1" x14ac:dyDescent="0.25">
      <c r="A24" s="110"/>
      <c r="B24" s="116" t="s">
        <v>17</v>
      </c>
      <c r="C24" s="117" t="s">
        <v>18</v>
      </c>
      <c r="D24" s="110"/>
    </row>
    <row r="25" spans="1:4" ht="29.25" customHeight="1" x14ac:dyDescent="0.25">
      <c r="A25" s="110"/>
      <c r="B25" s="116" t="s">
        <v>19</v>
      </c>
      <c r="C25" s="117" t="s">
        <v>20</v>
      </c>
      <c r="D25" s="110"/>
    </row>
    <row r="26" spans="1:4" ht="29.25" customHeight="1" x14ac:dyDescent="0.25">
      <c r="A26" s="110"/>
      <c r="B26" s="116" t="s">
        <v>21</v>
      </c>
      <c r="C26" s="117" t="s">
        <v>22</v>
      </c>
      <c r="D26" s="110"/>
    </row>
    <row r="27" spans="1:4" ht="29.25" customHeight="1" x14ac:dyDescent="0.25">
      <c r="A27" s="110"/>
      <c r="B27" s="116" t="s">
        <v>23</v>
      </c>
      <c r="C27" s="117" t="s">
        <v>24</v>
      </c>
      <c r="D27" s="110"/>
    </row>
    <row r="28" spans="1:4" ht="29.25" customHeight="1" x14ac:dyDescent="0.25">
      <c r="A28" s="110"/>
      <c r="B28" s="116" t="s">
        <v>25</v>
      </c>
      <c r="C28" s="117" t="s">
        <v>26</v>
      </c>
      <c r="D28" s="110"/>
    </row>
    <row r="29" spans="1:4" ht="29.25" customHeight="1" x14ac:dyDescent="0.25">
      <c r="A29" s="110"/>
      <c r="B29" s="116" t="s">
        <v>27</v>
      </c>
      <c r="C29" s="117" t="s">
        <v>28</v>
      </c>
      <c r="D29" s="110"/>
    </row>
    <row r="30" spans="1:4" ht="29.25" customHeight="1" x14ac:dyDescent="0.25">
      <c r="A30" s="110"/>
      <c r="B30" s="116" t="s">
        <v>29</v>
      </c>
      <c r="C30" s="117" t="s">
        <v>30</v>
      </c>
      <c r="D30" s="110"/>
    </row>
    <row r="31" spans="1:4" ht="7.5" customHeight="1" x14ac:dyDescent="0.25">
      <c r="A31" s="110"/>
      <c r="B31" s="110"/>
      <c r="C31" s="110"/>
      <c r="D31" s="110"/>
    </row>
    <row r="32" spans="1:4" ht="19.5" customHeight="1" x14ac:dyDescent="0.25">
      <c r="A32" s="110"/>
      <c r="B32" s="118"/>
      <c r="C32" s="118"/>
      <c r="D32" s="110"/>
    </row>
    <row r="33" spans="1:4" ht="18" customHeight="1" x14ac:dyDescent="0.25">
      <c r="A33" s="110"/>
      <c r="B33" s="119" t="s">
        <v>31</v>
      </c>
      <c r="C33" s="120"/>
      <c r="D33" s="120"/>
    </row>
    <row r="34" spans="1:4" ht="18" customHeight="1" x14ac:dyDescent="0.25">
      <c r="A34" s="110"/>
      <c r="B34" s="121"/>
      <c r="C34" s="122" t="s">
        <v>32</v>
      </c>
      <c r="D34" s="122"/>
    </row>
    <row r="35" spans="1:4" ht="18" customHeight="1" x14ac:dyDescent="0.25">
      <c r="A35" s="110"/>
      <c r="B35" s="123"/>
      <c r="C35" s="122" t="s">
        <v>33</v>
      </c>
      <c r="D35" s="122"/>
    </row>
    <row r="36" spans="1:4" ht="18" customHeight="1" x14ac:dyDescent="0.25">
      <c r="A36" s="110"/>
      <c r="B36" s="124"/>
      <c r="C36" s="122" t="s">
        <v>34</v>
      </c>
      <c r="D36" s="122"/>
    </row>
    <row r="37" spans="1:4" ht="18" customHeight="1" x14ac:dyDescent="0.25">
      <c r="A37" s="110"/>
      <c r="B37" s="125"/>
      <c r="C37" s="122" t="s">
        <v>35</v>
      </c>
      <c r="D37" s="122"/>
    </row>
    <row r="38" spans="1:4" ht="18" customHeight="1" x14ac:dyDescent="0.25">
      <c r="A38" s="110"/>
      <c r="B38" s="123"/>
      <c r="C38" s="117" t="s">
        <v>36</v>
      </c>
    </row>
    <row r="39" spans="1:4" ht="19.5" customHeight="1" x14ac:dyDescent="0.25">
      <c r="A39" s="110"/>
      <c r="B39" s="118"/>
      <c r="C39" s="118"/>
      <c r="D39" s="110"/>
    </row>
    <row r="40" spans="1:4" ht="16.5" customHeight="1" x14ac:dyDescent="0.25">
      <c r="A40" s="110"/>
      <c r="B40" s="126" t="s">
        <v>37</v>
      </c>
      <c r="C40" s="120"/>
      <c r="D40" s="120"/>
    </row>
    <row r="41" spans="1:4" ht="24.75" customHeight="1" x14ac:dyDescent="0.25">
      <c r="A41" s="110"/>
      <c r="B41" s="127" t="s">
        <v>38</v>
      </c>
      <c r="C41" s="122" t="s">
        <v>39</v>
      </c>
      <c r="D41" s="122"/>
    </row>
    <row r="42" spans="1:4" ht="24.75" customHeight="1" x14ac:dyDescent="0.25">
      <c r="A42" s="110"/>
      <c r="B42" s="127" t="s">
        <v>38</v>
      </c>
      <c r="C42" s="122" t="s">
        <v>40</v>
      </c>
      <c r="D42" s="122"/>
    </row>
    <row r="43" spans="1:4" ht="24.75" customHeight="1" x14ac:dyDescent="0.25">
      <c r="A43" s="110"/>
      <c r="B43" s="127" t="s">
        <v>38</v>
      </c>
      <c r="C43" s="122" t="s">
        <v>41</v>
      </c>
      <c r="D43" s="122"/>
    </row>
    <row r="44" spans="1:4" ht="24.75" customHeight="1" x14ac:dyDescent="0.25">
      <c r="A44" s="110"/>
      <c r="B44" s="127" t="s">
        <v>38</v>
      </c>
      <c r="C44" s="122" t="s">
        <v>42</v>
      </c>
      <c r="D44" s="122"/>
    </row>
    <row r="45" spans="1:4" ht="24.75" customHeight="1" x14ac:dyDescent="0.25">
      <c r="A45" s="110"/>
      <c r="B45" s="127" t="s">
        <v>38</v>
      </c>
      <c r="C45" s="122" t="s">
        <v>43</v>
      </c>
      <c r="D45" s="122"/>
    </row>
    <row r="46" spans="1:4" ht="24.75" customHeight="1" x14ac:dyDescent="0.25">
      <c r="A46" s="110"/>
      <c r="B46" s="127" t="s">
        <v>38</v>
      </c>
      <c r="C46" s="117" t="s">
        <v>44</v>
      </c>
    </row>
    <row r="47" spans="1:4" ht="24.75" customHeight="1" x14ac:dyDescent="0.25">
      <c r="A47" s="110"/>
      <c r="B47" s="110"/>
      <c r="C47" s="110"/>
      <c r="D47" s="110"/>
    </row>
    <row r="48" spans="1:4" ht="18" customHeight="1" x14ac:dyDescent="0.25">
      <c r="A48" s="110"/>
      <c r="B48" s="110"/>
      <c r="C48" s="110"/>
      <c r="D48" s="110"/>
    </row>
    <row r="49" spans="1:4" ht="18" customHeight="1" x14ac:dyDescent="0.25">
      <c r="A49" s="110"/>
      <c r="B49" s="110"/>
      <c r="C49" s="110"/>
      <c r="D49" s="110"/>
    </row>
    <row r="50" spans="1:4" ht="18" customHeight="1" x14ac:dyDescent="0.25">
      <c r="A50" s="110"/>
      <c r="B50" s="110"/>
      <c r="C50" s="110"/>
      <c r="D50" s="110"/>
    </row>
    <row r="51" spans="1:4" ht="18" customHeight="1" x14ac:dyDescent="0.25">
      <c r="A51" s="110"/>
      <c r="B51" s="110"/>
      <c r="C51" s="110"/>
      <c r="D51" s="110"/>
    </row>
    <row r="52" spans="1:4" ht="18" customHeight="1" x14ac:dyDescent="0.25">
      <c r="A52" s="110"/>
      <c r="B52" s="110"/>
      <c r="C52" s="110"/>
      <c r="D52" s="110"/>
    </row>
    <row r="53" spans="1:4" ht="18" customHeight="1" x14ac:dyDescent="0.25">
      <c r="A53" s="110"/>
      <c r="B53" s="110"/>
      <c r="C53" s="110"/>
      <c r="D53" s="110"/>
    </row>
    <row r="54" spans="1:4" ht="18" customHeight="1" x14ac:dyDescent="0.25">
      <c r="A54" s="110"/>
      <c r="B54" s="110"/>
      <c r="C54" s="110"/>
      <c r="D54" s="110"/>
    </row>
    <row r="55" spans="1:4" ht="18" customHeight="1" x14ac:dyDescent="0.25">
      <c r="A55" s="110"/>
      <c r="B55" s="110"/>
      <c r="C55" s="110"/>
      <c r="D55" s="110"/>
    </row>
    <row r="56" spans="1:4" ht="18" customHeight="1" x14ac:dyDescent="0.25">
      <c r="A56" s="110"/>
      <c r="B56" s="110"/>
      <c r="C56" s="110"/>
      <c r="D56" s="110"/>
    </row>
    <row r="57" spans="1:4" ht="18" customHeight="1" x14ac:dyDescent="0.25">
      <c r="A57" s="110"/>
      <c r="B57" s="110"/>
      <c r="C57" s="110"/>
      <c r="D57" s="110"/>
    </row>
    <row r="58" spans="1:4" ht="18" customHeight="1" x14ac:dyDescent="0.25">
      <c r="A58" s="110"/>
      <c r="B58" s="110"/>
      <c r="C58" s="110"/>
      <c r="D58" s="110"/>
    </row>
    <row r="59" spans="1:4" ht="18" customHeight="1" x14ac:dyDescent="0.25">
      <c r="A59" s="110"/>
      <c r="B59" s="110"/>
      <c r="C59" s="110"/>
      <c r="D59" s="110"/>
    </row>
    <row r="60" spans="1:4" ht="15.75" customHeight="1" x14ac:dyDescent="0.25">
      <c r="A60" s="110"/>
      <c r="B60" s="118"/>
      <c r="C60" s="118"/>
      <c r="D60" s="110"/>
    </row>
    <row r="61" spans="1:4" ht="18" customHeight="1" x14ac:dyDescent="0.25">
      <c r="A61" s="110"/>
      <c r="B61" s="128" t="s">
        <v>45</v>
      </c>
      <c r="D61" s="110"/>
    </row>
    <row r="62" spans="1:4" ht="15" customHeight="1" x14ac:dyDescent="0.25">
      <c r="A62" s="110"/>
      <c r="B62" s="110"/>
      <c r="C62" s="110"/>
      <c r="D62" s="110"/>
    </row>
  </sheetData>
  <sheetProtection algorithmName="SHA-512" hashValue="JkK59YcWLow2151ECQQH/X/lRJSOcIPsHMFuVKyj8zdR8mke3oJt7jVejWz6/ORIVPwRrQHEKFewaTg4cCZgzQ==" saltValue="OZyww4sfBb8/BRhxtQdXXQ==" spinCount="100000" sheet="1" objects="1" scenarios="1"/>
  <mergeCells count="20">
    <mergeCell ref="C42:D42"/>
    <mergeCell ref="C43:D43"/>
    <mergeCell ref="C44:D44"/>
    <mergeCell ref="C45:D45"/>
    <mergeCell ref="B60:C60"/>
    <mergeCell ref="C36:D36"/>
    <mergeCell ref="C37:D37"/>
    <mergeCell ref="B39:C39"/>
    <mergeCell ref="C40:D40"/>
    <mergeCell ref="C41:D41"/>
    <mergeCell ref="B22:C22"/>
    <mergeCell ref="B32:C32"/>
    <mergeCell ref="C33:D33"/>
    <mergeCell ref="C34:D34"/>
    <mergeCell ref="C35:D35"/>
    <mergeCell ref="B2:C3"/>
    <mergeCell ref="B4:C5"/>
    <mergeCell ref="B10:C10"/>
    <mergeCell ref="B11:C11"/>
    <mergeCell ref="B8:D9"/>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2E86C1"/>
  </sheetPr>
  <dimension ref="A1:B41"/>
  <sheetViews>
    <sheetView zoomScaleNormal="100" workbookViewId="0">
      <selection sqref="A1:B1"/>
    </sheetView>
  </sheetViews>
  <sheetFormatPr defaultColWidth="8.7109375" defaultRowHeight="15" x14ac:dyDescent="0.25"/>
  <cols>
    <col min="1" max="1" width="6" style="1" customWidth="1"/>
    <col min="2" max="2" width="96" style="1" customWidth="1"/>
    <col min="3" max="16384" width="8.7109375" style="1"/>
  </cols>
  <sheetData>
    <row r="1" spans="1:2" ht="30" customHeight="1" x14ac:dyDescent="0.25">
      <c r="A1" s="2" t="s">
        <v>239</v>
      </c>
      <c r="B1" s="2"/>
    </row>
    <row r="3" spans="1:2" ht="19.5" customHeight="1" x14ac:dyDescent="0.25">
      <c r="A3" s="81" t="s">
        <v>240</v>
      </c>
      <c r="B3" s="81"/>
    </row>
    <row r="4" spans="1:2" ht="19.5" customHeight="1" x14ac:dyDescent="0.25">
      <c r="A4" s="4" t="s">
        <v>241</v>
      </c>
      <c r="B4" s="4"/>
    </row>
    <row r="5" spans="1:2" ht="39.75" customHeight="1" x14ac:dyDescent="0.25">
      <c r="A5" s="82" t="s">
        <v>242</v>
      </c>
      <c r="B5" s="82"/>
    </row>
    <row r="6" spans="1:2" ht="19.5" customHeight="1" x14ac:dyDescent="0.25">
      <c r="A6" s="4" t="s">
        <v>243</v>
      </c>
      <c r="B6" s="4"/>
    </row>
    <row r="7" spans="1:2" ht="39.75" customHeight="1" x14ac:dyDescent="0.25">
      <c r="A7" s="82" t="s">
        <v>244</v>
      </c>
      <c r="B7" s="82"/>
    </row>
    <row r="8" spans="1:2" ht="19.5" customHeight="1" x14ac:dyDescent="0.25">
      <c r="A8" s="4" t="s">
        <v>245</v>
      </c>
      <c r="B8" s="4"/>
    </row>
    <row r="9" spans="1:2" ht="39.75" customHeight="1" x14ac:dyDescent="0.25">
      <c r="A9" s="82" t="s">
        <v>246</v>
      </c>
      <c r="B9" s="82"/>
    </row>
    <row r="10" spans="1:2" ht="19.5" customHeight="1" x14ac:dyDescent="0.25">
      <c r="A10" s="4" t="s">
        <v>247</v>
      </c>
      <c r="B10" s="4"/>
    </row>
    <row r="11" spans="1:2" ht="39.75" customHeight="1" x14ac:dyDescent="0.25">
      <c r="A11" s="82" t="s">
        <v>248</v>
      </c>
      <c r="B11" s="82"/>
    </row>
    <row r="12" spans="1:2" ht="19.5" customHeight="1" x14ac:dyDescent="0.25">
      <c r="A12" s="4" t="s">
        <v>249</v>
      </c>
      <c r="B12" s="4"/>
    </row>
    <row r="13" spans="1:2" ht="39.75" customHeight="1" x14ac:dyDescent="0.25">
      <c r="A13" s="82" t="s">
        <v>250</v>
      </c>
      <c r="B13" s="82"/>
    </row>
    <row r="14" spans="1:2" ht="19.5" customHeight="1" x14ac:dyDescent="0.25">
      <c r="A14" s="4" t="s">
        <v>251</v>
      </c>
      <c r="B14" s="4"/>
    </row>
    <row r="15" spans="1:2" ht="39.75" customHeight="1" x14ac:dyDescent="0.25">
      <c r="A15" s="82" t="s">
        <v>252</v>
      </c>
      <c r="B15" s="82"/>
    </row>
    <row r="17" spans="1:2" ht="19.5" customHeight="1" x14ac:dyDescent="0.25">
      <c r="A17" s="81" t="s">
        <v>253</v>
      </c>
      <c r="B17" s="81"/>
    </row>
    <row r="18" spans="1:2" ht="39.75" customHeight="1" x14ac:dyDescent="0.25">
      <c r="A18" s="82" t="s">
        <v>254</v>
      </c>
      <c r="B18" s="82"/>
    </row>
    <row r="19" spans="1:2" ht="39.75" customHeight="1" x14ac:dyDescent="0.25">
      <c r="A19" s="82" t="s">
        <v>255</v>
      </c>
      <c r="B19" s="82"/>
    </row>
    <row r="20" spans="1:2" ht="39.75" customHeight="1" x14ac:dyDescent="0.25">
      <c r="A20" s="82" t="s">
        <v>256</v>
      </c>
      <c r="B20" s="82"/>
    </row>
    <row r="21" spans="1:2" ht="39.75" customHeight="1" x14ac:dyDescent="0.25">
      <c r="A21" s="82" t="s">
        <v>257</v>
      </c>
      <c r="B21" s="82"/>
    </row>
    <row r="22" spans="1:2" ht="39.75" customHeight="1" x14ac:dyDescent="0.25">
      <c r="A22" s="82" t="s">
        <v>258</v>
      </c>
      <c r="B22" s="82"/>
    </row>
    <row r="23" spans="1:2" ht="39.75" customHeight="1" x14ac:dyDescent="0.25">
      <c r="A23" s="82" t="s">
        <v>259</v>
      </c>
      <c r="B23" s="82"/>
    </row>
    <row r="25" spans="1:2" ht="19.5" customHeight="1" x14ac:dyDescent="0.25">
      <c r="A25" s="81" t="s">
        <v>260</v>
      </c>
      <c r="B25" s="81"/>
    </row>
    <row r="26" spans="1:2" ht="39.75" customHeight="1" x14ac:dyDescent="0.25">
      <c r="A26" s="82" t="s">
        <v>261</v>
      </c>
      <c r="B26" s="82"/>
    </row>
    <row r="27" spans="1:2" ht="39.75" customHeight="1" x14ac:dyDescent="0.25">
      <c r="A27" s="82" t="s">
        <v>262</v>
      </c>
      <c r="B27" s="82"/>
    </row>
    <row r="28" spans="1:2" ht="39.75" customHeight="1" x14ac:dyDescent="0.25">
      <c r="A28" s="82" t="s">
        <v>263</v>
      </c>
      <c r="B28" s="82"/>
    </row>
    <row r="29" spans="1:2" ht="39.75" customHeight="1" x14ac:dyDescent="0.25">
      <c r="A29" s="82" t="s">
        <v>264</v>
      </c>
      <c r="B29" s="82"/>
    </row>
    <row r="31" spans="1:2" ht="19.5" customHeight="1" x14ac:dyDescent="0.25">
      <c r="A31" s="81" t="s">
        <v>265</v>
      </c>
      <c r="B31" s="81"/>
    </row>
    <row r="32" spans="1:2" ht="39.75" customHeight="1" x14ac:dyDescent="0.25">
      <c r="A32" s="82" t="s">
        <v>266</v>
      </c>
      <c r="B32" s="82"/>
    </row>
    <row r="33" spans="1:2" ht="39.75" customHeight="1" x14ac:dyDescent="0.25">
      <c r="A33" s="82" t="s">
        <v>267</v>
      </c>
      <c r="B33" s="82"/>
    </row>
    <row r="34" spans="1:2" ht="39.75" customHeight="1" x14ac:dyDescent="0.25">
      <c r="A34" s="82" t="s">
        <v>268</v>
      </c>
      <c r="B34" s="82"/>
    </row>
    <row r="35" spans="1:2" ht="109.5" customHeight="1" x14ac:dyDescent="0.25">
      <c r="A35" s="82" t="s">
        <v>269</v>
      </c>
      <c r="B35" s="82"/>
    </row>
    <row r="36" spans="1:2" ht="19.5" customHeight="1" x14ac:dyDescent="0.25">
      <c r="A36" s="81" t="s">
        <v>270</v>
      </c>
      <c r="B36" s="81"/>
    </row>
    <row r="37" spans="1:2" ht="39.75" customHeight="1" x14ac:dyDescent="0.25">
      <c r="A37" s="82" t="s">
        <v>271</v>
      </c>
      <c r="B37" s="82"/>
    </row>
    <row r="38" spans="1:2" ht="39.75" customHeight="1" x14ac:dyDescent="0.25">
      <c r="A38" s="82" t="s">
        <v>272</v>
      </c>
      <c r="B38" s="82"/>
    </row>
    <row r="39" spans="1:2" ht="39.75" customHeight="1" x14ac:dyDescent="0.25">
      <c r="A39" s="82" t="s">
        <v>273</v>
      </c>
      <c r="B39" s="82"/>
    </row>
    <row r="41" spans="1:2" ht="15.75" customHeight="1" x14ac:dyDescent="0.25">
      <c r="A41" s="21" t="s">
        <v>274</v>
      </c>
      <c r="B41" s="21"/>
    </row>
  </sheetData>
  <mergeCells count="36">
    <mergeCell ref="A41:B41"/>
    <mergeCell ref="A35:B35"/>
    <mergeCell ref="A36:B36"/>
    <mergeCell ref="A37:B37"/>
    <mergeCell ref="A38:B38"/>
    <mergeCell ref="A39:B39"/>
    <mergeCell ref="A29:B29"/>
    <mergeCell ref="A31:B31"/>
    <mergeCell ref="A32:B32"/>
    <mergeCell ref="A33:B33"/>
    <mergeCell ref="A34:B34"/>
    <mergeCell ref="A23:B23"/>
    <mergeCell ref="A25:B25"/>
    <mergeCell ref="A26:B26"/>
    <mergeCell ref="A27:B27"/>
    <mergeCell ref="A28:B28"/>
    <mergeCell ref="A18:B18"/>
    <mergeCell ref="A19:B19"/>
    <mergeCell ref="A20:B20"/>
    <mergeCell ref="A21:B21"/>
    <mergeCell ref="A22:B22"/>
    <mergeCell ref="A12:B12"/>
    <mergeCell ref="A13:B13"/>
    <mergeCell ref="A14:B14"/>
    <mergeCell ref="A15:B15"/>
    <mergeCell ref="A17:B17"/>
    <mergeCell ref="A7:B7"/>
    <mergeCell ref="A8:B8"/>
    <mergeCell ref="A9:B9"/>
    <mergeCell ref="A10:B10"/>
    <mergeCell ref="A11:B11"/>
    <mergeCell ref="A1:B1"/>
    <mergeCell ref="A3:B3"/>
    <mergeCell ref="A4:B4"/>
    <mergeCell ref="A5:B5"/>
    <mergeCell ref="A6:B6"/>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6C3483"/>
  </sheetPr>
  <dimension ref="A1:C40"/>
  <sheetViews>
    <sheetView zoomScaleNormal="100" workbookViewId="0">
      <pane ySplit="2" topLeftCell="A3" activePane="bottomLeft" state="frozen"/>
      <selection pane="bottomLeft" activeCell="A40" sqref="A40:C40"/>
    </sheetView>
  </sheetViews>
  <sheetFormatPr defaultColWidth="8.7109375" defaultRowHeight="15" x14ac:dyDescent="0.25"/>
  <cols>
    <col min="1" max="1" width="44" style="1" customWidth="1"/>
    <col min="2" max="2" width="18" style="1" customWidth="1"/>
    <col min="3" max="3" width="56.7109375" style="1" customWidth="1"/>
    <col min="4" max="16384" width="8.7109375" style="1"/>
  </cols>
  <sheetData>
    <row r="1" spans="1:3" ht="30" customHeight="1" x14ac:dyDescent="0.25">
      <c r="A1" s="2" t="s">
        <v>46</v>
      </c>
      <c r="B1" s="2"/>
      <c r="C1" s="2"/>
    </row>
    <row r="2" spans="1:3" ht="15" customHeight="1" x14ac:dyDescent="0.25">
      <c r="A2" s="3" t="s">
        <v>47</v>
      </c>
      <c r="B2" s="3"/>
      <c r="C2" s="3"/>
    </row>
    <row r="3" spans="1:3" ht="21.75" customHeight="1" x14ac:dyDescent="0.25">
      <c r="A3" s="4" t="s">
        <v>48</v>
      </c>
      <c r="B3" s="4"/>
      <c r="C3" s="4"/>
    </row>
    <row r="4" spans="1:3" ht="19.5" customHeight="1" x14ac:dyDescent="0.25">
      <c r="A4" s="5" t="s">
        <v>49</v>
      </c>
      <c r="B4" s="5" t="s">
        <v>50</v>
      </c>
      <c r="C4" s="5" t="s">
        <v>51</v>
      </c>
    </row>
    <row r="5" spans="1:3" ht="19.5" customHeight="1" x14ac:dyDescent="0.25">
      <c r="A5" s="6" t="s">
        <v>52</v>
      </c>
      <c r="B5" s="7">
        <v>8</v>
      </c>
      <c r="C5" s="8" t="s">
        <v>53</v>
      </c>
    </row>
    <row r="6" spans="1:3" ht="28.5" customHeight="1" x14ac:dyDescent="0.25">
      <c r="A6" s="6" t="s">
        <v>54</v>
      </c>
      <c r="B6" s="9">
        <v>0.12</v>
      </c>
      <c r="C6" s="8" t="s">
        <v>55</v>
      </c>
    </row>
    <row r="7" spans="1:3" ht="27" customHeight="1" x14ac:dyDescent="0.25">
      <c r="A7" s="6" t="s">
        <v>56</v>
      </c>
      <c r="B7" s="9">
        <v>0.12</v>
      </c>
      <c r="C7" s="8" t="s">
        <v>57</v>
      </c>
    </row>
    <row r="8" spans="1:3" ht="19.5" customHeight="1" x14ac:dyDescent="0.25">
      <c r="A8" s="6" t="s">
        <v>58</v>
      </c>
      <c r="B8" s="10">
        <v>0.25169999999999998</v>
      </c>
      <c r="C8" s="8" t="s">
        <v>59</v>
      </c>
    </row>
    <row r="9" spans="1:3" ht="19.5" customHeight="1" x14ac:dyDescent="0.25">
      <c r="A9" s="6" t="s">
        <v>60</v>
      </c>
      <c r="B9" s="7">
        <v>4</v>
      </c>
      <c r="C9" s="8" t="s">
        <v>61</v>
      </c>
    </row>
    <row r="10" spans="1:3" ht="24" customHeight="1" x14ac:dyDescent="0.25">
      <c r="A10" s="6" t="s">
        <v>62</v>
      </c>
      <c r="B10" s="7">
        <v>6</v>
      </c>
      <c r="C10" s="8" t="s">
        <v>63</v>
      </c>
    </row>
    <row r="11" spans="1:3" ht="23.25" customHeight="1" x14ac:dyDescent="0.25">
      <c r="A11" s="6" t="s">
        <v>64</v>
      </c>
      <c r="B11" s="11">
        <v>0.1</v>
      </c>
      <c r="C11" s="8" t="s">
        <v>65</v>
      </c>
    </row>
    <row r="12" spans="1:3" ht="24.75" customHeight="1" x14ac:dyDescent="0.25">
      <c r="A12" s="6" t="s">
        <v>66</v>
      </c>
      <c r="B12" s="11">
        <v>0.05</v>
      </c>
      <c r="C12" s="8" t="s">
        <v>67</v>
      </c>
    </row>
    <row r="13" spans="1:3" ht="19.5" customHeight="1" x14ac:dyDescent="0.25"/>
    <row r="14" spans="1:3" ht="19.5" customHeight="1" x14ac:dyDescent="0.25">
      <c r="A14" s="12" t="s">
        <v>68</v>
      </c>
    </row>
    <row r="15" spans="1:3" ht="19.5" customHeight="1" x14ac:dyDescent="0.25">
      <c r="A15" s="5" t="s">
        <v>69</v>
      </c>
      <c r="B15" s="5" t="s">
        <v>70</v>
      </c>
      <c r="C15" s="5" t="s">
        <v>51</v>
      </c>
    </row>
    <row r="16" spans="1:3" ht="19.5" customHeight="1" x14ac:dyDescent="0.25">
      <c r="A16" s="6" t="s">
        <v>71</v>
      </c>
      <c r="B16" s="11">
        <v>0.15</v>
      </c>
      <c r="C16" s="8" t="s">
        <v>72</v>
      </c>
    </row>
    <row r="17" spans="1:3" ht="19.5" customHeight="1" x14ac:dyDescent="0.25">
      <c r="A17" s="6" t="s">
        <v>73</v>
      </c>
      <c r="B17" s="11">
        <v>0.1</v>
      </c>
      <c r="C17" s="8" t="s">
        <v>74</v>
      </c>
    </row>
    <row r="18" spans="1:3" ht="15" customHeight="1" x14ac:dyDescent="0.25">
      <c r="A18" s="6" t="s">
        <v>75</v>
      </c>
      <c r="B18" s="11">
        <v>0.4</v>
      </c>
      <c r="C18" s="8" t="s">
        <v>76</v>
      </c>
    </row>
    <row r="19" spans="1:3" ht="19.5" customHeight="1" x14ac:dyDescent="0.25">
      <c r="A19" s="6" t="s">
        <v>77</v>
      </c>
      <c r="B19" s="11">
        <v>0.3</v>
      </c>
      <c r="C19" s="8" t="s">
        <v>78</v>
      </c>
    </row>
    <row r="20" spans="1:3" ht="19.5" customHeight="1" x14ac:dyDescent="0.25">
      <c r="A20" s="6" t="s">
        <v>79</v>
      </c>
      <c r="B20" s="13">
        <v>0</v>
      </c>
      <c r="C20" s="8" t="s">
        <v>80</v>
      </c>
    </row>
    <row r="21" spans="1:3" ht="19.5" customHeight="1" x14ac:dyDescent="0.25"/>
    <row r="22" spans="1:3" ht="19.5" customHeight="1" x14ac:dyDescent="0.25">
      <c r="A22" s="14" t="s">
        <v>81</v>
      </c>
    </row>
    <row r="23" spans="1:3" ht="19.5" customHeight="1" x14ac:dyDescent="0.25">
      <c r="A23" s="5" t="s">
        <v>49</v>
      </c>
      <c r="B23" s="5" t="s">
        <v>50</v>
      </c>
      <c r="C23" s="5" t="s">
        <v>82</v>
      </c>
    </row>
    <row r="24" spans="1:3" ht="25.5" customHeight="1" x14ac:dyDescent="0.25">
      <c r="A24" s="6" t="s">
        <v>83</v>
      </c>
      <c r="B24" s="9">
        <v>0.06</v>
      </c>
      <c r="C24" s="8" t="s">
        <v>84</v>
      </c>
    </row>
    <row r="25" spans="1:3" ht="15" customHeight="1" x14ac:dyDescent="0.25">
      <c r="A25" s="15" t="s">
        <v>85</v>
      </c>
      <c r="B25" s="15"/>
      <c r="C25" s="15"/>
    </row>
    <row r="26" spans="1:3" ht="18.75" customHeight="1" x14ac:dyDescent="0.25">
      <c r="A26" s="6" t="s">
        <v>86</v>
      </c>
      <c r="B26" s="9">
        <v>5.5E-2</v>
      </c>
      <c r="C26" s="8" t="s">
        <v>87</v>
      </c>
    </row>
    <row r="28" spans="1:3" ht="45.75" customHeight="1" x14ac:dyDescent="0.25">
      <c r="A28" s="22" t="s">
        <v>88</v>
      </c>
      <c r="B28" s="22"/>
      <c r="C28" s="22"/>
    </row>
    <row r="30" spans="1:3" ht="21.75" customHeight="1" x14ac:dyDescent="0.25">
      <c r="A30" s="17" t="s">
        <v>89</v>
      </c>
      <c r="B30" s="17"/>
      <c r="C30" s="17"/>
    </row>
    <row r="31" spans="1:3" ht="25.5" customHeight="1" x14ac:dyDescent="0.25">
      <c r="A31" s="5" t="s">
        <v>90</v>
      </c>
      <c r="B31" s="5" t="s">
        <v>91</v>
      </c>
      <c r="C31" s="5" t="s">
        <v>92</v>
      </c>
    </row>
    <row r="32" spans="1:3" ht="19.5" customHeight="1" x14ac:dyDescent="0.25">
      <c r="A32" s="6" t="s">
        <v>93</v>
      </c>
      <c r="B32" s="18" t="s">
        <v>94</v>
      </c>
      <c r="C32" s="19" t="s">
        <v>95</v>
      </c>
    </row>
    <row r="33" spans="1:3" ht="19.5" customHeight="1" x14ac:dyDescent="0.25">
      <c r="A33" s="6" t="s">
        <v>96</v>
      </c>
      <c r="B33" s="18" t="s">
        <v>97</v>
      </c>
      <c r="C33" s="19" t="s">
        <v>98</v>
      </c>
    </row>
    <row r="34" spans="1:3" ht="19.5" customHeight="1" x14ac:dyDescent="0.25">
      <c r="A34" s="6" t="s">
        <v>99</v>
      </c>
      <c r="B34" s="18" t="s">
        <v>100</v>
      </c>
      <c r="C34" s="19" t="s">
        <v>101</v>
      </c>
    </row>
    <row r="35" spans="1:3" ht="19.5" customHeight="1" x14ac:dyDescent="0.25">
      <c r="A35" s="6" t="s">
        <v>102</v>
      </c>
      <c r="B35" s="18" t="s">
        <v>103</v>
      </c>
      <c r="C35" s="19" t="s">
        <v>104</v>
      </c>
    </row>
    <row r="36" spans="1:3" ht="19.5" customHeight="1" x14ac:dyDescent="0.25">
      <c r="A36" s="6" t="s">
        <v>105</v>
      </c>
      <c r="B36" s="18" t="s">
        <v>104</v>
      </c>
      <c r="C36" s="19" t="s">
        <v>94</v>
      </c>
    </row>
    <row r="37" spans="1:3" ht="19.5" customHeight="1" x14ac:dyDescent="0.25">
      <c r="A37" s="6" t="s">
        <v>106</v>
      </c>
      <c r="B37" s="18" t="s">
        <v>95</v>
      </c>
      <c r="C37" s="19" t="s">
        <v>107</v>
      </c>
    </row>
    <row r="38" spans="1:3" ht="19.5" customHeight="1" x14ac:dyDescent="0.25">
      <c r="A38" s="6" t="s">
        <v>108</v>
      </c>
      <c r="B38" s="18" t="s">
        <v>109</v>
      </c>
      <c r="C38" s="19" t="s">
        <v>110</v>
      </c>
    </row>
    <row r="39" spans="1:3" ht="19.5" customHeight="1" x14ac:dyDescent="0.25">
      <c r="A39" s="6" t="s">
        <v>111</v>
      </c>
      <c r="B39" s="18" t="s">
        <v>112</v>
      </c>
      <c r="C39" s="19" t="s">
        <v>97</v>
      </c>
    </row>
    <row r="40" spans="1:3" ht="37.5" customHeight="1" x14ac:dyDescent="0.25">
      <c r="A40" s="20" t="s">
        <v>113</v>
      </c>
      <c r="B40" s="20"/>
      <c r="C40" s="20"/>
    </row>
  </sheetData>
  <mergeCells count="7">
    <mergeCell ref="A40:C40"/>
    <mergeCell ref="A28:C28"/>
    <mergeCell ref="A1:C1"/>
    <mergeCell ref="A2:C2"/>
    <mergeCell ref="A3:C3"/>
    <mergeCell ref="A25:C25"/>
    <mergeCell ref="A30:C30"/>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A04000"/>
  </sheetPr>
  <dimension ref="A1:M26"/>
  <sheetViews>
    <sheetView zoomScaleNormal="100" workbookViewId="0">
      <pane xSplit="1" ySplit="2" topLeftCell="B3" activePane="bottomRight" state="frozen"/>
      <selection pane="topRight" activeCell="B1" sqref="B1"/>
      <selection pane="bottomLeft" activeCell="A3" sqref="A3"/>
      <selection pane="bottomRight" sqref="A1:L1"/>
    </sheetView>
  </sheetViews>
  <sheetFormatPr defaultColWidth="8.7109375" defaultRowHeight="15" x14ac:dyDescent="0.25"/>
  <cols>
    <col min="1" max="1" width="38" style="1" customWidth="1"/>
    <col min="2" max="12" width="13" style="1" customWidth="1"/>
    <col min="13" max="13" width="40.28515625" style="1" customWidth="1"/>
    <col min="14" max="16384" width="8.7109375" style="1"/>
  </cols>
  <sheetData>
    <row r="1" spans="1:13" ht="30" customHeight="1" x14ac:dyDescent="0.25">
      <c r="A1" s="2" t="s">
        <v>114</v>
      </c>
      <c r="B1" s="2"/>
      <c r="C1" s="2"/>
      <c r="D1" s="2"/>
      <c r="E1" s="2"/>
      <c r="F1" s="2"/>
      <c r="G1" s="2"/>
      <c r="H1" s="2"/>
      <c r="I1" s="2"/>
      <c r="J1" s="2"/>
      <c r="K1" s="2"/>
      <c r="L1" s="2"/>
    </row>
    <row r="2" spans="1:13" ht="15" customHeight="1" x14ac:dyDescent="0.25">
      <c r="A2" s="3" t="s">
        <v>115</v>
      </c>
      <c r="B2" s="3"/>
      <c r="C2" s="3"/>
      <c r="D2" s="3"/>
      <c r="E2" s="3"/>
      <c r="F2" s="3"/>
      <c r="G2" s="3"/>
      <c r="H2" s="3"/>
      <c r="I2" s="3"/>
      <c r="J2" s="3"/>
      <c r="K2" s="3"/>
      <c r="L2" s="3"/>
    </row>
    <row r="3" spans="1:13" ht="25.5" customHeight="1" x14ac:dyDescent="0.25">
      <c r="A3" s="24"/>
      <c r="B3" s="5" t="s">
        <v>116</v>
      </c>
      <c r="C3" s="25" t="s">
        <v>117</v>
      </c>
      <c r="D3" s="25" t="s">
        <v>118</v>
      </c>
      <c r="E3" s="25" t="s">
        <v>119</v>
      </c>
      <c r="F3" s="25" t="s">
        <v>120</v>
      </c>
      <c r="G3" s="25" t="s">
        <v>121</v>
      </c>
      <c r="H3" s="25" t="s">
        <v>122</v>
      </c>
      <c r="I3" s="25" t="s">
        <v>123</v>
      </c>
      <c r="J3" s="25" t="s">
        <v>124</v>
      </c>
      <c r="K3" s="25" t="s">
        <v>125</v>
      </c>
      <c r="L3" s="25" t="s">
        <v>126</v>
      </c>
    </row>
    <row r="4" spans="1:13" ht="21.75" customHeight="1" x14ac:dyDescent="0.25">
      <c r="A4" s="4" t="s">
        <v>127</v>
      </c>
      <c r="B4" s="4"/>
      <c r="C4" s="4"/>
      <c r="D4" s="4"/>
      <c r="E4" s="4"/>
      <c r="F4" s="4"/>
      <c r="G4" s="4"/>
      <c r="H4" s="4"/>
      <c r="I4" s="4"/>
      <c r="J4" s="4"/>
      <c r="K4" s="4"/>
      <c r="L4" s="4"/>
    </row>
    <row r="5" spans="1:13" ht="19.5" customHeight="1" x14ac:dyDescent="0.25">
      <c r="A5" s="6" t="s">
        <v>128</v>
      </c>
      <c r="B5" s="26">
        <v>50</v>
      </c>
      <c r="C5" s="27">
        <v>0</v>
      </c>
      <c r="D5" s="27">
        <v>0</v>
      </c>
      <c r="E5" s="27">
        <v>0</v>
      </c>
      <c r="F5" s="27">
        <v>0</v>
      </c>
      <c r="G5" s="27">
        <v>0</v>
      </c>
      <c r="H5" s="27">
        <v>0</v>
      </c>
      <c r="I5" s="27">
        <v>0</v>
      </c>
      <c r="J5" s="27">
        <v>0</v>
      </c>
      <c r="K5" s="27">
        <v>0</v>
      </c>
      <c r="L5" s="27">
        <v>0</v>
      </c>
      <c r="M5" s="16" t="s">
        <v>129</v>
      </c>
    </row>
    <row r="6" spans="1:13" ht="19.5" customHeight="1" x14ac:dyDescent="0.25">
      <c r="A6" s="6" t="s">
        <v>130</v>
      </c>
      <c r="B6" s="26">
        <v>75</v>
      </c>
      <c r="C6" s="27">
        <v>0</v>
      </c>
      <c r="D6" s="27">
        <v>0</v>
      </c>
      <c r="E6" s="27">
        <v>0</v>
      </c>
      <c r="F6" s="27">
        <v>0</v>
      </c>
      <c r="G6" s="27">
        <v>0</v>
      </c>
      <c r="H6" s="27">
        <v>0</v>
      </c>
      <c r="I6" s="27">
        <v>0</v>
      </c>
      <c r="J6" s="27">
        <v>0</v>
      </c>
      <c r="K6" s="27">
        <v>0</v>
      </c>
      <c r="L6" s="27">
        <v>0</v>
      </c>
      <c r="M6" s="16" t="s">
        <v>131</v>
      </c>
    </row>
    <row r="7" spans="1:13" ht="19.5" customHeight="1" x14ac:dyDescent="0.25">
      <c r="A7" s="6" t="s">
        <v>132</v>
      </c>
      <c r="B7" s="26">
        <v>150</v>
      </c>
      <c r="C7" s="27">
        <v>0</v>
      </c>
      <c r="D7" s="27">
        <v>0</v>
      </c>
      <c r="E7" s="27">
        <v>0</v>
      </c>
      <c r="F7" s="27">
        <v>0</v>
      </c>
      <c r="G7" s="27">
        <v>0</v>
      </c>
      <c r="H7" s="27">
        <v>0</v>
      </c>
      <c r="I7" s="27">
        <v>0</v>
      </c>
      <c r="J7" s="27">
        <v>0</v>
      </c>
      <c r="K7" s="27">
        <v>0</v>
      </c>
      <c r="L7" s="27">
        <v>0</v>
      </c>
      <c r="M7" s="16" t="s">
        <v>133</v>
      </c>
    </row>
    <row r="8" spans="1:13" ht="19.5" customHeight="1" x14ac:dyDescent="0.25">
      <c r="A8" s="6" t="s">
        <v>134</v>
      </c>
      <c r="B8" s="26">
        <v>25</v>
      </c>
      <c r="C8" s="27">
        <v>0</v>
      </c>
      <c r="D8" s="27">
        <v>0</v>
      </c>
      <c r="E8" s="27">
        <v>0</v>
      </c>
      <c r="F8" s="27">
        <v>0</v>
      </c>
      <c r="G8" s="27">
        <v>0</v>
      </c>
      <c r="H8" s="27">
        <v>0</v>
      </c>
      <c r="I8" s="27">
        <v>0</v>
      </c>
      <c r="J8" s="27">
        <v>0</v>
      </c>
      <c r="K8" s="27">
        <v>0</v>
      </c>
      <c r="L8" s="27">
        <v>0</v>
      </c>
      <c r="M8" s="16" t="s">
        <v>135</v>
      </c>
    </row>
    <row r="9" spans="1:13" ht="21.75" customHeight="1" x14ac:dyDescent="0.25">
      <c r="A9" s="28" t="s">
        <v>136</v>
      </c>
      <c r="B9" s="29">
        <f t="shared" ref="B9:L9" si="0">SUM(B5:B8)</f>
        <v>300</v>
      </c>
      <c r="C9" s="29">
        <f t="shared" si="0"/>
        <v>0</v>
      </c>
      <c r="D9" s="29">
        <f t="shared" si="0"/>
        <v>0</v>
      </c>
      <c r="E9" s="29">
        <f t="shared" si="0"/>
        <v>0</v>
      </c>
      <c r="F9" s="29">
        <f t="shared" si="0"/>
        <v>0</v>
      </c>
      <c r="G9" s="29">
        <f t="shared" si="0"/>
        <v>0</v>
      </c>
      <c r="H9" s="29">
        <f t="shared" si="0"/>
        <v>0</v>
      </c>
      <c r="I9" s="29">
        <f t="shared" si="0"/>
        <v>0</v>
      </c>
      <c r="J9" s="29">
        <f t="shared" si="0"/>
        <v>0</v>
      </c>
      <c r="K9" s="29">
        <f t="shared" si="0"/>
        <v>0</v>
      </c>
      <c r="L9" s="29">
        <f t="shared" si="0"/>
        <v>0</v>
      </c>
    </row>
    <row r="11" spans="1:13" ht="21.75" customHeight="1" x14ac:dyDescent="0.25">
      <c r="A11" s="4" t="s">
        <v>137</v>
      </c>
      <c r="B11" s="4"/>
      <c r="C11" s="4"/>
      <c r="D11" s="4"/>
      <c r="E11" s="4"/>
      <c r="F11" s="4"/>
      <c r="G11" s="4"/>
      <c r="H11" s="4"/>
      <c r="I11" s="4"/>
      <c r="J11" s="4"/>
      <c r="K11" s="4"/>
      <c r="L11" s="4"/>
    </row>
    <row r="12" spans="1:13" ht="19.5" customHeight="1" x14ac:dyDescent="0.25">
      <c r="A12" s="6" t="s">
        <v>138</v>
      </c>
      <c r="B12" s="26">
        <v>25</v>
      </c>
      <c r="C12" s="24"/>
      <c r="D12" s="24"/>
      <c r="E12" s="24"/>
      <c r="F12" s="24"/>
      <c r="G12" s="24"/>
      <c r="H12" s="24"/>
      <c r="I12" s="24"/>
      <c r="J12" s="24"/>
      <c r="K12" s="24"/>
      <c r="L12" s="24"/>
      <c r="M12" s="16" t="s">
        <v>139</v>
      </c>
    </row>
    <row r="13" spans="1:13" ht="19.5" customHeight="1" x14ac:dyDescent="0.25">
      <c r="A13" s="6" t="s">
        <v>140</v>
      </c>
      <c r="B13" s="24"/>
      <c r="C13" s="30">
        <f>IF(1='⚙ SETUP'!B5,B12,0)</f>
        <v>0</v>
      </c>
      <c r="D13" s="30">
        <f>IF(2='⚙ SETUP'!B5,B12,0)</f>
        <v>0</v>
      </c>
      <c r="E13" s="30">
        <f>IF(3='⚙ SETUP'!B5,B12,0)</f>
        <v>0</v>
      </c>
      <c r="F13" s="30">
        <f>IF(4='⚙ SETUP'!B5,B12,0)</f>
        <v>0</v>
      </c>
      <c r="G13" s="30">
        <f>IF(5='⚙ SETUP'!B5,B12,0)</f>
        <v>0</v>
      </c>
      <c r="H13" s="30">
        <f>IF(6='⚙ SETUP'!B5,B12,0)</f>
        <v>0</v>
      </c>
      <c r="I13" s="30">
        <f>IF(7='⚙ SETUP'!B5,B12,0)</f>
        <v>0</v>
      </c>
      <c r="J13" s="30">
        <f>IF(8='⚙ SETUP'!B5,B12,0)</f>
        <v>25</v>
      </c>
      <c r="K13" s="30">
        <f>IF(9='⚙ SETUP'!B5,B12,0)</f>
        <v>0</v>
      </c>
      <c r="L13" s="30">
        <f>IF(10='⚙ SETUP'!B5,B12,0)</f>
        <v>0</v>
      </c>
    </row>
    <row r="15" spans="1:13" ht="21.75" customHeight="1" x14ac:dyDescent="0.25">
      <c r="A15" s="17" t="s">
        <v>141</v>
      </c>
      <c r="B15" s="17"/>
      <c r="C15" s="17"/>
      <c r="D15" s="17"/>
      <c r="E15" s="17"/>
      <c r="F15" s="17"/>
      <c r="G15" s="17"/>
      <c r="H15" s="17"/>
      <c r="I15" s="17"/>
      <c r="J15" s="17"/>
      <c r="K15" s="17"/>
      <c r="L15" s="17"/>
    </row>
    <row r="16" spans="1:13" ht="19.5" customHeight="1" x14ac:dyDescent="0.25">
      <c r="A16" s="6" t="s">
        <v>142</v>
      </c>
      <c r="B16" s="26">
        <v>30</v>
      </c>
      <c r="C16" s="24"/>
      <c r="D16" s="24"/>
      <c r="E16" s="24"/>
      <c r="F16" s="24"/>
      <c r="G16" s="24"/>
      <c r="H16" s="24"/>
      <c r="I16" s="24"/>
      <c r="J16" s="24"/>
      <c r="K16" s="24"/>
      <c r="L16" s="24"/>
    </row>
    <row r="17" spans="1:12" ht="29.25" customHeight="1" x14ac:dyDescent="0.25">
      <c r="A17" s="6" t="s">
        <v>143</v>
      </c>
      <c r="B17" s="30">
        <f>'🧾 DEP &amp; TAX'!B23</f>
        <v>74.599819755859372</v>
      </c>
      <c r="C17" s="24"/>
      <c r="D17" s="24"/>
      <c r="E17" s="24"/>
      <c r="F17" s="24"/>
      <c r="G17" s="24"/>
      <c r="H17" s="24"/>
      <c r="I17" s="24"/>
      <c r="J17" s="24"/>
      <c r="K17" s="24"/>
      <c r="L17" s="24"/>
    </row>
    <row r="18" spans="1:12" ht="19.5" customHeight="1" x14ac:dyDescent="0.25">
      <c r="A18" s="6" t="s">
        <v>144</v>
      </c>
      <c r="B18" s="30">
        <f>B16-B17</f>
        <v>-44.599819755859372</v>
      </c>
      <c r="C18" s="24"/>
      <c r="D18" s="24"/>
      <c r="E18" s="24"/>
      <c r="F18" s="24"/>
      <c r="G18" s="24"/>
      <c r="H18" s="24"/>
      <c r="I18" s="24"/>
      <c r="J18" s="24"/>
      <c r="K18" s="24"/>
      <c r="L18" s="24"/>
    </row>
    <row r="19" spans="1:12" ht="19.5" customHeight="1" x14ac:dyDescent="0.25">
      <c r="A19" s="6" t="s">
        <v>145</v>
      </c>
      <c r="B19" s="30">
        <f>IFERROR(MAX(0,B18)*'⚙ SETUP'!B8,0)</f>
        <v>0</v>
      </c>
      <c r="C19" s="24"/>
      <c r="D19" s="24"/>
      <c r="E19" s="24"/>
      <c r="F19" s="24"/>
      <c r="G19" s="24"/>
      <c r="H19" s="24"/>
      <c r="I19" s="24"/>
      <c r="J19" s="24"/>
      <c r="K19" s="24"/>
      <c r="L19" s="24"/>
    </row>
    <row r="20" spans="1:12" ht="19.5" customHeight="1" x14ac:dyDescent="0.25">
      <c r="A20" s="31" t="s">
        <v>146</v>
      </c>
      <c r="B20" s="32">
        <f>B16-B19</f>
        <v>30</v>
      </c>
      <c r="C20" s="33"/>
      <c r="D20" s="33"/>
      <c r="E20" s="33"/>
      <c r="F20" s="33"/>
      <c r="G20" s="33"/>
      <c r="H20" s="33"/>
      <c r="I20" s="33"/>
      <c r="J20" s="33"/>
      <c r="K20" s="33"/>
      <c r="L20" s="33"/>
    </row>
    <row r="22" spans="1:12" ht="21.75" customHeight="1" x14ac:dyDescent="0.25">
      <c r="A22" s="34" t="s">
        <v>147</v>
      </c>
      <c r="B22" s="34"/>
      <c r="C22" s="34"/>
      <c r="D22" s="34"/>
      <c r="E22" s="34"/>
      <c r="F22" s="34"/>
      <c r="G22" s="34"/>
      <c r="H22" s="34"/>
      <c r="I22" s="34"/>
      <c r="J22" s="34"/>
      <c r="K22" s="34"/>
      <c r="L22" s="34"/>
    </row>
    <row r="23" spans="1:12" ht="39" customHeight="1" x14ac:dyDescent="0.25">
      <c r="A23" s="35" t="s">
        <v>148</v>
      </c>
      <c r="B23" s="36">
        <f>B9+B12</f>
        <v>325</v>
      </c>
      <c r="C23" s="37"/>
      <c r="D23" s="37"/>
      <c r="E23" s="37"/>
      <c r="F23" s="37"/>
      <c r="G23" s="37"/>
      <c r="H23" s="37"/>
      <c r="I23" s="37"/>
      <c r="J23" s="37"/>
      <c r="K23" s="37"/>
      <c r="L23" s="37"/>
    </row>
    <row r="24" spans="1:12" ht="37.5" customHeight="1" x14ac:dyDescent="0.25">
      <c r="A24" s="28" t="s">
        <v>149</v>
      </c>
      <c r="B24" s="38"/>
      <c r="C24" s="29">
        <f>IFERROR(C13+IF(1='⚙ SETUP'!B5,B20,0),0)</f>
        <v>0</v>
      </c>
      <c r="D24" s="29">
        <f>IFERROR(D13+IF(2='⚙ SETUP'!B5,B20,0),0)</f>
        <v>0</v>
      </c>
      <c r="E24" s="29">
        <f>IFERROR(E13+IF(3='⚙ SETUP'!B5,B20,0),0)</f>
        <v>0</v>
      </c>
      <c r="F24" s="29">
        <f>IFERROR(F13+IF(4='⚙ SETUP'!B5,B20,0),0)</f>
        <v>0</v>
      </c>
      <c r="G24" s="29">
        <f>IFERROR(G13+IF(5='⚙ SETUP'!B5,B20,0),0)</f>
        <v>0</v>
      </c>
      <c r="H24" s="29">
        <f>IFERROR(H13+IF(6='⚙ SETUP'!B5,B20,0),0)</f>
        <v>0</v>
      </c>
      <c r="I24" s="29">
        <f>IFERROR(I13+IF(7='⚙ SETUP'!B5,B20,0),0)</f>
        <v>0</v>
      </c>
      <c r="J24" s="29">
        <f>IFERROR(J13+IF(8='⚙ SETUP'!B5,B20,0),0)</f>
        <v>55</v>
      </c>
      <c r="K24" s="29">
        <f>IFERROR(K13+IF(9='⚙ SETUP'!B5,B20,0),0)</f>
        <v>0</v>
      </c>
      <c r="L24" s="29">
        <f>IFERROR(L13+IF(10='⚙ SETUP'!B5,B20,0),0)</f>
        <v>0</v>
      </c>
    </row>
    <row r="26" spans="1:12" ht="34.5" customHeight="1" x14ac:dyDescent="0.25">
      <c r="A26" s="20" t="s">
        <v>150</v>
      </c>
      <c r="B26" s="20"/>
      <c r="C26" s="20"/>
      <c r="D26" s="20"/>
      <c r="E26" s="20"/>
      <c r="F26" s="20"/>
      <c r="G26" s="20"/>
      <c r="H26" s="20"/>
      <c r="I26" s="20"/>
      <c r="J26" s="20"/>
      <c r="K26" s="20"/>
      <c r="L26" s="20"/>
    </row>
  </sheetData>
  <mergeCells count="7">
    <mergeCell ref="A22:L22"/>
    <mergeCell ref="A26:L26"/>
    <mergeCell ref="A1:L1"/>
    <mergeCell ref="A2:L2"/>
    <mergeCell ref="A4:L4"/>
    <mergeCell ref="A11:L11"/>
    <mergeCell ref="A15:L15"/>
  </mergeCell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B4F72"/>
  </sheetPr>
  <dimension ref="A1:K23"/>
  <sheetViews>
    <sheetView zoomScaleNormal="100" workbookViewId="0">
      <pane xSplit="1" ySplit="2" topLeftCell="B3" activePane="bottomRight" state="frozen"/>
      <selection pane="topRight" activeCell="B1" sqref="B1"/>
      <selection pane="bottomLeft" activeCell="A3" sqref="A3"/>
      <selection pane="bottomRight" activeCell="A21" sqref="A21"/>
    </sheetView>
  </sheetViews>
  <sheetFormatPr defaultColWidth="8.7109375" defaultRowHeight="15" x14ac:dyDescent="0.25"/>
  <cols>
    <col min="1" max="1" width="46.140625" style="1" customWidth="1"/>
    <col min="2" max="11" width="13" style="1" customWidth="1"/>
    <col min="12" max="16384" width="8.7109375" style="1"/>
  </cols>
  <sheetData>
    <row r="1" spans="1:11" ht="30" customHeight="1" x14ac:dyDescent="0.25">
      <c r="A1" s="23" t="s">
        <v>151</v>
      </c>
      <c r="B1" s="23"/>
      <c r="C1" s="23"/>
      <c r="D1" s="23"/>
      <c r="E1" s="23"/>
      <c r="F1" s="23"/>
      <c r="G1" s="23"/>
      <c r="H1" s="23"/>
      <c r="I1" s="23"/>
      <c r="J1" s="23"/>
      <c r="K1" s="23"/>
    </row>
    <row r="2" spans="1:11" ht="15" customHeight="1" x14ac:dyDescent="0.25">
      <c r="A2" s="39" t="s">
        <v>152</v>
      </c>
      <c r="B2" s="39"/>
      <c r="C2" s="39"/>
      <c r="D2" s="39"/>
      <c r="E2" s="39"/>
      <c r="F2" s="39"/>
      <c r="G2" s="39"/>
      <c r="H2" s="39"/>
      <c r="I2" s="39"/>
      <c r="J2" s="39"/>
      <c r="K2" s="39"/>
    </row>
    <row r="3" spans="1:11" ht="21.75" customHeight="1" x14ac:dyDescent="0.25">
      <c r="A3" s="24"/>
      <c r="B3" s="5" t="s">
        <v>117</v>
      </c>
      <c r="C3" s="5" t="s">
        <v>118</v>
      </c>
      <c r="D3" s="5" t="s">
        <v>119</v>
      </c>
      <c r="E3" s="5" t="s">
        <v>120</v>
      </c>
      <c r="F3" s="5" t="s">
        <v>121</v>
      </c>
      <c r="G3" s="5" t="s">
        <v>122</v>
      </c>
      <c r="H3" s="5" t="s">
        <v>123</v>
      </c>
      <c r="I3" s="5" t="s">
        <v>124</v>
      </c>
      <c r="J3" s="5" t="s">
        <v>125</v>
      </c>
      <c r="K3" s="5" t="s">
        <v>126</v>
      </c>
    </row>
    <row r="4" spans="1:11" ht="21.75" customHeight="1" x14ac:dyDescent="0.25">
      <c r="A4" s="4" t="s">
        <v>153</v>
      </c>
      <c r="B4" s="4"/>
      <c r="C4" s="4"/>
      <c r="D4" s="4"/>
      <c r="E4" s="4"/>
      <c r="F4" s="4"/>
      <c r="G4" s="4"/>
      <c r="H4" s="4"/>
      <c r="I4" s="4"/>
      <c r="J4" s="4"/>
      <c r="K4" s="4"/>
    </row>
    <row r="5" spans="1:11" ht="19.5" customHeight="1" x14ac:dyDescent="0.25">
      <c r="A5" s="6" t="s">
        <v>154</v>
      </c>
      <c r="B5" s="27">
        <v>200</v>
      </c>
      <c r="C5" s="27">
        <v>280</v>
      </c>
      <c r="D5" s="27">
        <v>350</v>
      </c>
      <c r="E5" s="27">
        <v>420</v>
      </c>
      <c r="F5" s="27">
        <v>460</v>
      </c>
      <c r="G5" s="27">
        <v>490</v>
      </c>
      <c r="H5" s="27">
        <v>510</v>
      </c>
      <c r="I5" s="27">
        <v>510</v>
      </c>
      <c r="J5" s="27">
        <v>0</v>
      </c>
      <c r="K5" s="27">
        <v>0</v>
      </c>
    </row>
    <row r="7" spans="1:11" ht="21.75" customHeight="1" x14ac:dyDescent="0.25">
      <c r="A7" s="17" t="s">
        <v>155</v>
      </c>
      <c r="B7" s="17"/>
      <c r="C7" s="17"/>
      <c r="D7" s="17"/>
      <c r="E7" s="17"/>
      <c r="F7" s="17"/>
      <c r="G7" s="17"/>
      <c r="H7" s="17"/>
      <c r="I7" s="17"/>
      <c r="J7" s="17"/>
      <c r="K7" s="17"/>
    </row>
    <row r="8" spans="1:11" ht="19.5" customHeight="1" x14ac:dyDescent="0.25">
      <c r="A8" s="6" t="s">
        <v>156</v>
      </c>
      <c r="B8" s="27">
        <v>90</v>
      </c>
      <c r="C8" s="27">
        <v>126</v>
      </c>
      <c r="D8" s="27">
        <v>157</v>
      </c>
      <c r="E8" s="27">
        <v>189</v>
      </c>
      <c r="F8" s="27">
        <v>207</v>
      </c>
      <c r="G8" s="27">
        <v>220</v>
      </c>
      <c r="H8" s="27">
        <v>230</v>
      </c>
      <c r="I8" s="27">
        <v>230</v>
      </c>
      <c r="J8" s="27">
        <v>0</v>
      </c>
      <c r="K8" s="27">
        <v>0</v>
      </c>
    </row>
    <row r="9" spans="1:11" ht="19.5" customHeight="1" x14ac:dyDescent="0.25">
      <c r="A9" s="6" t="s">
        <v>157</v>
      </c>
      <c r="B9" s="27">
        <v>35</v>
      </c>
      <c r="C9" s="27">
        <v>38</v>
      </c>
      <c r="D9" s="27">
        <v>42</v>
      </c>
      <c r="E9" s="27">
        <v>45</v>
      </c>
      <c r="F9" s="27">
        <v>48</v>
      </c>
      <c r="G9" s="27">
        <v>50</v>
      </c>
      <c r="H9" s="27">
        <v>52</v>
      </c>
      <c r="I9" s="27">
        <v>52</v>
      </c>
      <c r="J9" s="27">
        <v>0</v>
      </c>
      <c r="K9" s="27">
        <v>0</v>
      </c>
    </row>
    <row r="10" spans="1:11" ht="19.5" customHeight="1" x14ac:dyDescent="0.25">
      <c r="A10" s="6" t="s">
        <v>158</v>
      </c>
      <c r="B10" s="27">
        <v>20</v>
      </c>
      <c r="C10" s="27">
        <v>22</v>
      </c>
      <c r="D10" s="27">
        <v>24</v>
      </c>
      <c r="E10" s="27">
        <v>26</v>
      </c>
      <c r="F10" s="27">
        <v>28</v>
      </c>
      <c r="G10" s="27">
        <v>29</v>
      </c>
      <c r="H10" s="27">
        <v>30</v>
      </c>
      <c r="I10" s="27">
        <v>30</v>
      </c>
      <c r="J10" s="27">
        <v>0</v>
      </c>
      <c r="K10" s="27">
        <v>0</v>
      </c>
    </row>
    <row r="11" spans="1:11" ht="19.5" customHeight="1" x14ac:dyDescent="0.25">
      <c r="A11" s="40" t="s">
        <v>159</v>
      </c>
      <c r="B11" s="41">
        <f t="shared" ref="B11:K11" si="0">SUM(B8:B10)</f>
        <v>145</v>
      </c>
      <c r="C11" s="41">
        <f t="shared" si="0"/>
        <v>186</v>
      </c>
      <c r="D11" s="41">
        <f t="shared" si="0"/>
        <v>223</v>
      </c>
      <c r="E11" s="41">
        <f t="shared" si="0"/>
        <v>260</v>
      </c>
      <c r="F11" s="41">
        <f t="shared" si="0"/>
        <v>283</v>
      </c>
      <c r="G11" s="41">
        <f t="shared" si="0"/>
        <v>299</v>
      </c>
      <c r="H11" s="41">
        <f t="shared" si="0"/>
        <v>312</v>
      </c>
      <c r="I11" s="41">
        <f t="shared" si="0"/>
        <v>312</v>
      </c>
      <c r="J11" s="41">
        <f t="shared" si="0"/>
        <v>0</v>
      </c>
      <c r="K11" s="41">
        <f t="shared" si="0"/>
        <v>0</v>
      </c>
    </row>
    <row r="12" spans="1:11" ht="21.75" customHeight="1" x14ac:dyDescent="0.25">
      <c r="A12" s="28" t="s">
        <v>160</v>
      </c>
      <c r="B12" s="29">
        <f t="shared" ref="B12:K12" si="1">B5-B11</f>
        <v>55</v>
      </c>
      <c r="C12" s="29">
        <f t="shared" si="1"/>
        <v>94</v>
      </c>
      <c r="D12" s="29">
        <f t="shared" si="1"/>
        <v>127</v>
      </c>
      <c r="E12" s="29">
        <f t="shared" si="1"/>
        <v>160</v>
      </c>
      <c r="F12" s="29">
        <f t="shared" si="1"/>
        <v>177</v>
      </c>
      <c r="G12" s="29">
        <f t="shared" si="1"/>
        <v>191</v>
      </c>
      <c r="H12" s="29">
        <f t="shared" si="1"/>
        <v>198</v>
      </c>
      <c r="I12" s="29">
        <f t="shared" si="1"/>
        <v>198</v>
      </c>
      <c r="J12" s="29">
        <f t="shared" si="1"/>
        <v>0</v>
      </c>
      <c r="K12" s="29">
        <f t="shared" si="1"/>
        <v>0</v>
      </c>
    </row>
    <row r="13" spans="1:11" ht="18" customHeight="1" x14ac:dyDescent="0.25">
      <c r="A13" s="8" t="s">
        <v>161</v>
      </c>
      <c r="B13" s="42">
        <f t="shared" ref="B13:K13" si="2">IFERROR(B12/B5,0)</f>
        <v>0.27500000000000002</v>
      </c>
      <c r="C13" s="42">
        <f t="shared" si="2"/>
        <v>0.33571428571428569</v>
      </c>
      <c r="D13" s="42">
        <f t="shared" si="2"/>
        <v>0.36285714285714288</v>
      </c>
      <c r="E13" s="42">
        <f t="shared" si="2"/>
        <v>0.38095238095238093</v>
      </c>
      <c r="F13" s="42">
        <f t="shared" si="2"/>
        <v>0.38478260869565217</v>
      </c>
      <c r="G13" s="42">
        <f t="shared" si="2"/>
        <v>0.38979591836734695</v>
      </c>
      <c r="H13" s="42">
        <f t="shared" si="2"/>
        <v>0.38823529411764707</v>
      </c>
      <c r="I13" s="42">
        <f t="shared" si="2"/>
        <v>0.38823529411764707</v>
      </c>
      <c r="J13" s="42">
        <f t="shared" si="2"/>
        <v>0</v>
      </c>
      <c r="K13" s="42">
        <f t="shared" si="2"/>
        <v>0</v>
      </c>
    </row>
    <row r="15" spans="1:11" ht="21.75" customHeight="1" x14ac:dyDescent="0.25">
      <c r="A15" s="4" t="s">
        <v>162</v>
      </c>
      <c r="B15" s="4"/>
      <c r="C15" s="4"/>
      <c r="D15" s="4"/>
      <c r="E15" s="4"/>
      <c r="F15" s="4"/>
      <c r="G15" s="4"/>
      <c r="H15" s="4"/>
      <c r="I15" s="4"/>
      <c r="J15" s="4"/>
      <c r="K15" s="4"/>
    </row>
    <row r="16" spans="1:11" ht="19.5" customHeight="1" x14ac:dyDescent="0.25">
      <c r="A16" s="6" t="s">
        <v>163</v>
      </c>
      <c r="B16" s="30">
        <f>'🧾 DEP &amp; TAX'!B19</f>
        <v>37.5</v>
      </c>
      <c r="C16" s="30">
        <f>'🧾 DEP &amp; TAX'!C19</f>
        <v>31.125</v>
      </c>
      <c r="D16" s="30">
        <f>'🧾 DEP &amp; TAX'!D19</f>
        <v>26.006249999999998</v>
      </c>
      <c r="E16" s="30">
        <f>'🧾 DEP &amp; TAX'!E19</f>
        <v>21.857812500000001</v>
      </c>
      <c r="F16" s="30">
        <f>'🧾 DEP &amp; TAX'!F19</f>
        <v>18.466640625</v>
      </c>
      <c r="G16" s="30">
        <f>'🧾 DEP &amp; TAX'!G19</f>
        <v>15.67256953125</v>
      </c>
      <c r="H16" s="30">
        <f>'🧾 DEP &amp; TAX'!H19</f>
        <v>13.354039101562499</v>
      </c>
      <c r="I16" s="30">
        <f>'🧾 DEP &amp; TAX'!I19</f>
        <v>11.417868486328125</v>
      </c>
      <c r="J16" s="30">
        <f>'🧾 DEP &amp; TAX'!J19</f>
        <v>9.7919009633789056</v>
      </c>
      <c r="K16" s="30">
        <f>'🧾 DEP &amp; TAX'!K19</f>
        <v>8.419687011372071</v>
      </c>
    </row>
    <row r="17" spans="1:11" ht="19.5" customHeight="1" x14ac:dyDescent="0.25">
      <c r="A17" s="40" t="s">
        <v>164</v>
      </c>
      <c r="B17" s="41">
        <f t="shared" ref="B17:K17" si="3">B12-B16</f>
        <v>17.5</v>
      </c>
      <c r="C17" s="41">
        <f t="shared" si="3"/>
        <v>62.875</v>
      </c>
      <c r="D17" s="41">
        <f t="shared" si="3"/>
        <v>100.99375000000001</v>
      </c>
      <c r="E17" s="41">
        <f t="shared" si="3"/>
        <v>138.14218750000001</v>
      </c>
      <c r="F17" s="41">
        <f t="shared" si="3"/>
        <v>158.533359375</v>
      </c>
      <c r="G17" s="41">
        <f t="shared" si="3"/>
        <v>175.32743046875001</v>
      </c>
      <c r="H17" s="41">
        <f t="shared" si="3"/>
        <v>184.64596089843749</v>
      </c>
      <c r="I17" s="41">
        <f t="shared" si="3"/>
        <v>186.58213151367187</v>
      </c>
      <c r="J17" s="41">
        <f t="shared" si="3"/>
        <v>-9.7919009633789056</v>
      </c>
      <c r="K17" s="41">
        <f t="shared" si="3"/>
        <v>-8.419687011372071</v>
      </c>
    </row>
    <row r="18" spans="1:11" ht="19.5" customHeight="1" x14ac:dyDescent="0.25">
      <c r="A18" s="6" t="s">
        <v>165</v>
      </c>
      <c r="B18" s="30">
        <f>IFERROR(MAX(0,B17)*'⚙ SETUP'!B8,0)</f>
        <v>4.4047499999999999</v>
      </c>
      <c r="C18" s="30">
        <f>IFERROR(MAX(0,C17)*'⚙ SETUP'!B8,0)</f>
        <v>15.825637499999999</v>
      </c>
      <c r="D18" s="30">
        <f>IFERROR(MAX(0,D17)*'⚙ SETUP'!B8,0)</f>
        <v>25.420126874999998</v>
      </c>
      <c r="E18" s="30">
        <f>IFERROR(MAX(0,E17)*'⚙ SETUP'!B8,0)</f>
        <v>34.770388593749999</v>
      </c>
      <c r="F18" s="30">
        <f>IFERROR(MAX(0,F17)*'⚙ SETUP'!B8,0)</f>
        <v>39.9028465546875</v>
      </c>
      <c r="G18" s="30">
        <f>IFERROR(MAX(0,G17)*'⚙ SETUP'!B8,0)</f>
        <v>44.12991424898437</v>
      </c>
      <c r="H18" s="30">
        <f>IFERROR(MAX(0,H17)*'⚙ SETUP'!B8,0)</f>
        <v>46.475388358136712</v>
      </c>
      <c r="I18" s="30">
        <f>IFERROR(MAX(0,I17)*'⚙ SETUP'!B8,0)</f>
        <v>46.962722501991202</v>
      </c>
      <c r="J18" s="30">
        <f>IFERROR(MAX(0,J17)*'⚙ SETUP'!B8,0)</f>
        <v>0</v>
      </c>
      <c r="K18" s="30">
        <f>IFERROR(MAX(0,K17)*'⚙ SETUP'!B8,0)</f>
        <v>0</v>
      </c>
    </row>
    <row r="19" spans="1:11" ht="21.75" customHeight="1" x14ac:dyDescent="0.25">
      <c r="A19" s="43" t="s">
        <v>166</v>
      </c>
      <c r="B19" s="44">
        <f t="shared" ref="B19:K19" si="4">B17-B18</f>
        <v>13.09525</v>
      </c>
      <c r="C19" s="44">
        <f t="shared" si="4"/>
        <v>47.049362500000001</v>
      </c>
      <c r="D19" s="44">
        <f t="shared" si="4"/>
        <v>75.573623125000012</v>
      </c>
      <c r="E19" s="44">
        <f t="shared" si="4"/>
        <v>103.37179890625001</v>
      </c>
      <c r="F19" s="44">
        <f t="shared" si="4"/>
        <v>118.6305128203125</v>
      </c>
      <c r="G19" s="44">
        <f t="shared" si="4"/>
        <v>131.19751621976565</v>
      </c>
      <c r="H19" s="44">
        <f t="shared" si="4"/>
        <v>138.17057254030078</v>
      </c>
      <c r="I19" s="44">
        <f t="shared" si="4"/>
        <v>139.61940901168066</v>
      </c>
      <c r="J19" s="44">
        <f t="shared" si="4"/>
        <v>-9.7919009633789056</v>
      </c>
      <c r="K19" s="44">
        <f t="shared" si="4"/>
        <v>-8.419687011372071</v>
      </c>
    </row>
    <row r="20" spans="1:11" ht="19.5" customHeight="1" x14ac:dyDescent="0.25">
      <c r="A20" s="6" t="s">
        <v>167</v>
      </c>
      <c r="B20" s="30">
        <f t="shared" ref="B20:K20" si="5">B16</f>
        <v>37.5</v>
      </c>
      <c r="C20" s="30">
        <f t="shared" si="5"/>
        <v>31.125</v>
      </c>
      <c r="D20" s="30">
        <f t="shared" si="5"/>
        <v>26.006249999999998</v>
      </c>
      <c r="E20" s="30">
        <f t="shared" si="5"/>
        <v>21.857812500000001</v>
      </c>
      <c r="F20" s="30">
        <f t="shared" si="5"/>
        <v>18.466640625</v>
      </c>
      <c r="G20" s="30">
        <f t="shared" si="5"/>
        <v>15.67256953125</v>
      </c>
      <c r="H20" s="30">
        <f t="shared" si="5"/>
        <v>13.354039101562499</v>
      </c>
      <c r="I20" s="30">
        <f t="shared" si="5"/>
        <v>11.417868486328125</v>
      </c>
      <c r="J20" s="30">
        <f t="shared" si="5"/>
        <v>9.7919009633789056</v>
      </c>
      <c r="K20" s="30">
        <f t="shared" si="5"/>
        <v>8.419687011372071</v>
      </c>
    </row>
    <row r="21" spans="1:11" ht="34.5" customHeight="1" x14ac:dyDescent="0.25">
      <c r="A21" s="45" t="s">
        <v>168</v>
      </c>
      <c r="B21" s="46">
        <f t="shared" ref="B21:K21" si="6">B19+B20</f>
        <v>50.59525</v>
      </c>
      <c r="C21" s="46">
        <f t="shared" si="6"/>
        <v>78.174362500000001</v>
      </c>
      <c r="D21" s="46">
        <f t="shared" si="6"/>
        <v>101.57987312500001</v>
      </c>
      <c r="E21" s="46">
        <f t="shared" si="6"/>
        <v>125.22961140625</v>
      </c>
      <c r="F21" s="46">
        <f t="shared" si="6"/>
        <v>137.0971534453125</v>
      </c>
      <c r="G21" s="46">
        <f t="shared" si="6"/>
        <v>146.87008575101564</v>
      </c>
      <c r="H21" s="46">
        <f t="shared" si="6"/>
        <v>151.52461164186329</v>
      </c>
      <c r="I21" s="46">
        <f t="shared" si="6"/>
        <v>151.03727749800879</v>
      </c>
      <c r="J21" s="46">
        <f t="shared" si="6"/>
        <v>0</v>
      </c>
      <c r="K21" s="46">
        <f t="shared" si="6"/>
        <v>0</v>
      </c>
    </row>
    <row r="23" spans="1:11" ht="19.5" customHeight="1" x14ac:dyDescent="0.25">
      <c r="A23" s="47" t="s">
        <v>169</v>
      </c>
      <c r="B23" s="47"/>
      <c r="C23" s="47"/>
      <c r="D23" s="47"/>
      <c r="E23" s="47"/>
      <c r="F23" s="47"/>
      <c r="G23" s="47"/>
      <c r="H23" s="47"/>
      <c r="I23" s="47"/>
      <c r="J23" s="47"/>
      <c r="K23" s="47"/>
    </row>
  </sheetData>
  <mergeCells count="6">
    <mergeCell ref="A23:K23"/>
    <mergeCell ref="A1:K1"/>
    <mergeCell ref="A2:K2"/>
    <mergeCell ref="A4:K4"/>
    <mergeCell ref="A7:K7"/>
    <mergeCell ref="A15:K15"/>
  </mergeCells>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4AC0D"/>
  </sheetPr>
  <dimension ref="A1:K25"/>
  <sheetViews>
    <sheetView zoomScaleNormal="100" workbookViewId="0">
      <pane xSplit="1" ySplit="2" topLeftCell="B12" activePane="bottomRight" state="frozen"/>
      <selection pane="topRight" activeCell="B1" sqref="B1"/>
      <selection pane="bottomLeft" activeCell="A3" sqref="A3"/>
      <selection pane="bottomRight" sqref="A1:XFD1048576"/>
    </sheetView>
  </sheetViews>
  <sheetFormatPr defaultColWidth="8.7109375" defaultRowHeight="15" x14ac:dyDescent="0.25"/>
  <cols>
    <col min="1" max="1" width="53" style="1" customWidth="1"/>
    <col min="2" max="11" width="13" style="1" customWidth="1"/>
    <col min="12" max="16384" width="8.7109375" style="1"/>
  </cols>
  <sheetData>
    <row r="1" spans="1:11" ht="30" customHeight="1" x14ac:dyDescent="0.25">
      <c r="A1" s="2" t="s">
        <v>170</v>
      </c>
      <c r="B1" s="2"/>
      <c r="C1" s="2"/>
      <c r="D1" s="2"/>
      <c r="E1" s="2"/>
      <c r="F1" s="2"/>
      <c r="G1" s="2"/>
      <c r="H1" s="2"/>
      <c r="I1" s="2"/>
      <c r="J1" s="2"/>
      <c r="K1" s="2"/>
    </row>
    <row r="2" spans="1:11" ht="15" customHeight="1" x14ac:dyDescent="0.25">
      <c r="A2" s="39" t="s">
        <v>171</v>
      </c>
      <c r="B2" s="39"/>
      <c r="C2" s="39"/>
      <c r="D2" s="39"/>
      <c r="E2" s="39"/>
      <c r="F2" s="39"/>
      <c r="G2" s="39"/>
      <c r="H2" s="39"/>
      <c r="I2" s="39"/>
      <c r="J2" s="39"/>
      <c r="K2" s="39"/>
    </row>
    <row r="3" spans="1:11" ht="21.75" customHeight="1" x14ac:dyDescent="0.25">
      <c r="A3" s="24"/>
      <c r="B3" s="5" t="s">
        <v>117</v>
      </c>
      <c r="C3" s="5" t="s">
        <v>118</v>
      </c>
      <c r="D3" s="5" t="s">
        <v>119</v>
      </c>
      <c r="E3" s="5" t="s">
        <v>120</v>
      </c>
      <c r="F3" s="5" t="s">
        <v>121</v>
      </c>
      <c r="G3" s="5" t="s">
        <v>122</v>
      </c>
      <c r="H3" s="5" t="s">
        <v>123</v>
      </c>
      <c r="I3" s="5" t="s">
        <v>124</v>
      </c>
      <c r="J3" s="5" t="s">
        <v>125</v>
      </c>
      <c r="K3" s="5" t="s">
        <v>126</v>
      </c>
    </row>
    <row r="4" spans="1:11" ht="21.75" customHeight="1" x14ac:dyDescent="0.25">
      <c r="A4" s="17" t="s">
        <v>172</v>
      </c>
      <c r="B4" s="17"/>
      <c r="C4" s="17"/>
      <c r="D4" s="17"/>
      <c r="E4" s="17"/>
      <c r="F4" s="17"/>
      <c r="G4" s="17"/>
      <c r="H4" s="17"/>
      <c r="I4" s="17"/>
      <c r="J4" s="17"/>
      <c r="K4" s="17"/>
    </row>
    <row r="5" spans="1:11" ht="19.5" customHeight="1" x14ac:dyDescent="0.25">
      <c r="A5" s="6" t="s">
        <v>173</v>
      </c>
      <c r="B5" s="30">
        <f>'💸 INVESTMENT &amp; WC'!B7</f>
        <v>150</v>
      </c>
      <c r="C5" s="30">
        <f t="shared" ref="C5:K5" si="0">B7</f>
        <v>127.5</v>
      </c>
      <c r="D5" s="30">
        <f t="shared" si="0"/>
        <v>108.375</v>
      </c>
      <c r="E5" s="30">
        <f t="shared" si="0"/>
        <v>92.118750000000006</v>
      </c>
      <c r="F5" s="30">
        <f t="shared" si="0"/>
        <v>78.300937500000003</v>
      </c>
      <c r="G5" s="30">
        <f t="shared" si="0"/>
        <v>66.555796874999999</v>
      </c>
      <c r="H5" s="30">
        <f t="shared" si="0"/>
        <v>56.57242734375</v>
      </c>
      <c r="I5" s="30">
        <f t="shared" si="0"/>
        <v>48.086563242187502</v>
      </c>
      <c r="J5" s="30">
        <f t="shared" si="0"/>
        <v>40.873578755859377</v>
      </c>
      <c r="K5" s="30">
        <f t="shared" si="0"/>
        <v>34.742541942480472</v>
      </c>
    </row>
    <row r="6" spans="1:11" ht="19.5" customHeight="1" x14ac:dyDescent="0.25">
      <c r="A6" s="6" t="s">
        <v>174</v>
      </c>
      <c r="B6" s="30">
        <f>IFERROR(B5*'⚙ SETUP'!B16,0)</f>
        <v>22.5</v>
      </c>
      <c r="C6" s="30">
        <f>IFERROR(C5*'⚙ SETUP'!B16,0)</f>
        <v>19.125</v>
      </c>
      <c r="D6" s="30">
        <f>IFERROR(D5*'⚙ SETUP'!B16,0)</f>
        <v>16.256249999999998</v>
      </c>
      <c r="E6" s="30">
        <f>IFERROR(E5*'⚙ SETUP'!B16,0)</f>
        <v>13.8178125</v>
      </c>
      <c r="F6" s="30">
        <f>IFERROR(F5*'⚙ SETUP'!B16,0)</f>
        <v>11.745140624999999</v>
      </c>
      <c r="G6" s="30">
        <f>IFERROR(G5*'⚙ SETUP'!B16,0)</f>
        <v>9.9833695312500002</v>
      </c>
      <c r="H6" s="30">
        <f>IFERROR(H5*'⚙ SETUP'!B16,0)</f>
        <v>8.4858641015625</v>
      </c>
      <c r="I6" s="30">
        <f>IFERROR(I5*'⚙ SETUP'!B16,0)</f>
        <v>7.2129844863281249</v>
      </c>
      <c r="J6" s="30">
        <f>IFERROR(J5*'⚙ SETUP'!B16,0)</f>
        <v>6.1310368133789064</v>
      </c>
      <c r="K6" s="30">
        <f>IFERROR(K5*'⚙ SETUP'!B16,0)</f>
        <v>5.2113812913720707</v>
      </c>
    </row>
    <row r="7" spans="1:11" ht="19.5" customHeight="1" x14ac:dyDescent="0.25">
      <c r="A7" s="6" t="s">
        <v>175</v>
      </c>
      <c r="B7" s="30">
        <f t="shared" ref="B7:K7" si="1">IFERROR(B5-B6,0)</f>
        <v>127.5</v>
      </c>
      <c r="C7" s="30">
        <f t="shared" si="1"/>
        <v>108.375</v>
      </c>
      <c r="D7" s="30">
        <f t="shared" si="1"/>
        <v>92.118750000000006</v>
      </c>
      <c r="E7" s="30">
        <f t="shared" si="1"/>
        <v>78.300937500000003</v>
      </c>
      <c r="F7" s="30">
        <f t="shared" si="1"/>
        <v>66.555796874999999</v>
      </c>
      <c r="G7" s="30">
        <f t="shared" si="1"/>
        <v>56.57242734375</v>
      </c>
      <c r="H7" s="30">
        <f t="shared" si="1"/>
        <v>48.086563242187502</v>
      </c>
      <c r="I7" s="30">
        <f t="shared" si="1"/>
        <v>40.873578755859377</v>
      </c>
      <c r="J7" s="30">
        <f t="shared" si="1"/>
        <v>34.742541942480472</v>
      </c>
      <c r="K7" s="30">
        <f t="shared" si="1"/>
        <v>29.531160651108401</v>
      </c>
    </row>
    <row r="9" spans="1:11" ht="21.75" customHeight="1" x14ac:dyDescent="0.25">
      <c r="A9" s="4" t="s">
        <v>176</v>
      </c>
      <c r="B9" s="4"/>
      <c r="C9" s="4"/>
      <c r="D9" s="4"/>
      <c r="E9" s="4"/>
      <c r="F9" s="4"/>
      <c r="G9" s="4"/>
      <c r="H9" s="4"/>
      <c r="I9" s="4"/>
      <c r="J9" s="4"/>
      <c r="K9" s="4"/>
    </row>
    <row r="10" spans="1:11" ht="19.5" customHeight="1" x14ac:dyDescent="0.25">
      <c r="A10" s="6" t="s">
        <v>177</v>
      </c>
      <c r="B10" s="30">
        <f>'💸 INVESTMENT &amp; WC'!B6</f>
        <v>75</v>
      </c>
      <c r="C10" s="30">
        <f t="shared" ref="C10:K10" si="2">B12</f>
        <v>67.5</v>
      </c>
      <c r="D10" s="30">
        <f t="shared" si="2"/>
        <v>60.75</v>
      </c>
      <c r="E10" s="30">
        <f t="shared" si="2"/>
        <v>54.674999999999997</v>
      </c>
      <c r="F10" s="30">
        <f t="shared" si="2"/>
        <v>49.207499999999996</v>
      </c>
      <c r="G10" s="30">
        <f t="shared" si="2"/>
        <v>44.286749999999998</v>
      </c>
      <c r="H10" s="30">
        <f t="shared" si="2"/>
        <v>39.858074999999999</v>
      </c>
      <c r="I10" s="30">
        <f t="shared" si="2"/>
        <v>35.8722675</v>
      </c>
      <c r="J10" s="30">
        <f t="shared" si="2"/>
        <v>32.28504075</v>
      </c>
      <c r="K10" s="30">
        <f t="shared" si="2"/>
        <v>29.056536675</v>
      </c>
    </row>
    <row r="11" spans="1:11" ht="19.5" customHeight="1" x14ac:dyDescent="0.25">
      <c r="A11" s="6" t="s">
        <v>178</v>
      </c>
      <c r="B11" s="30">
        <f>IFERROR(B10*'⚙ SETUP'!B17,0)</f>
        <v>7.5</v>
      </c>
      <c r="C11" s="30">
        <f>IFERROR(C10*'⚙ SETUP'!B17,0)</f>
        <v>6.75</v>
      </c>
      <c r="D11" s="30">
        <f>IFERROR(D10*'⚙ SETUP'!B17,0)</f>
        <v>6.0750000000000002</v>
      </c>
      <c r="E11" s="30">
        <f>IFERROR(E10*'⚙ SETUP'!B17,0)</f>
        <v>5.4675000000000002</v>
      </c>
      <c r="F11" s="30">
        <f>IFERROR(F10*'⚙ SETUP'!B17,0)</f>
        <v>4.92075</v>
      </c>
      <c r="G11" s="30">
        <f>IFERROR(G10*'⚙ SETUP'!B17,0)</f>
        <v>4.4286750000000001</v>
      </c>
      <c r="H11" s="30">
        <f>IFERROR(H10*'⚙ SETUP'!B17,0)</f>
        <v>3.9858074999999999</v>
      </c>
      <c r="I11" s="30">
        <f>IFERROR(I10*'⚙ SETUP'!B17,0)</f>
        <v>3.5872267500000001</v>
      </c>
      <c r="J11" s="30">
        <f>IFERROR(J10*'⚙ SETUP'!B17,0)</f>
        <v>3.228504075</v>
      </c>
      <c r="K11" s="30">
        <f>IFERROR(K10*'⚙ SETUP'!B17,0)</f>
        <v>2.9056536675000002</v>
      </c>
    </row>
    <row r="12" spans="1:11" ht="19.5" customHeight="1" x14ac:dyDescent="0.25">
      <c r="A12" s="6" t="s">
        <v>179</v>
      </c>
      <c r="B12" s="30">
        <f t="shared" ref="B12:K12" si="3">IFERROR(B10-B11,0)</f>
        <v>67.5</v>
      </c>
      <c r="C12" s="30">
        <f t="shared" si="3"/>
        <v>60.75</v>
      </c>
      <c r="D12" s="30">
        <f t="shared" si="3"/>
        <v>54.674999999999997</v>
      </c>
      <c r="E12" s="30">
        <f t="shared" si="3"/>
        <v>49.207499999999996</v>
      </c>
      <c r="F12" s="30">
        <f t="shared" si="3"/>
        <v>44.286749999999998</v>
      </c>
      <c r="G12" s="30">
        <f t="shared" si="3"/>
        <v>39.858074999999999</v>
      </c>
      <c r="H12" s="30">
        <f t="shared" si="3"/>
        <v>35.8722675</v>
      </c>
      <c r="I12" s="30">
        <f t="shared" si="3"/>
        <v>32.28504075</v>
      </c>
      <c r="J12" s="30">
        <f t="shared" si="3"/>
        <v>29.056536675</v>
      </c>
      <c r="K12" s="30">
        <f t="shared" si="3"/>
        <v>26.150883007499999</v>
      </c>
    </row>
    <row r="14" spans="1:11" ht="21.75" customHeight="1" x14ac:dyDescent="0.25">
      <c r="A14" s="48" t="s">
        <v>180</v>
      </c>
      <c r="B14" s="48"/>
      <c r="C14" s="48"/>
      <c r="D14" s="48"/>
      <c r="E14" s="48"/>
      <c r="F14" s="48"/>
      <c r="G14" s="48"/>
      <c r="H14" s="48"/>
      <c r="I14" s="48"/>
      <c r="J14" s="48"/>
      <c r="K14" s="48"/>
    </row>
    <row r="15" spans="1:11" ht="19.5" customHeight="1" x14ac:dyDescent="0.25">
      <c r="A15" s="6" t="s">
        <v>181</v>
      </c>
      <c r="B15" s="30">
        <f>'💸 INVESTMENT &amp; WC'!B8</f>
        <v>25</v>
      </c>
      <c r="C15" s="30">
        <f t="shared" ref="C15:K15" si="4">B17</f>
        <v>17.5</v>
      </c>
      <c r="D15" s="30">
        <f t="shared" si="4"/>
        <v>12.25</v>
      </c>
      <c r="E15" s="30">
        <f t="shared" si="4"/>
        <v>8.5749999999999993</v>
      </c>
      <c r="F15" s="30">
        <f t="shared" si="4"/>
        <v>6.0024999999999995</v>
      </c>
      <c r="G15" s="30">
        <f t="shared" si="4"/>
        <v>4.2017499999999997</v>
      </c>
      <c r="H15" s="30">
        <f t="shared" si="4"/>
        <v>2.9412249999999998</v>
      </c>
      <c r="I15" s="30">
        <f t="shared" si="4"/>
        <v>2.0588574999999998</v>
      </c>
      <c r="J15" s="30">
        <f t="shared" si="4"/>
        <v>1.4412002499999998</v>
      </c>
      <c r="K15" s="30">
        <f t="shared" si="4"/>
        <v>1.008840175</v>
      </c>
    </row>
    <row r="16" spans="1:11" ht="19.5" customHeight="1" x14ac:dyDescent="0.25">
      <c r="A16" s="6" t="s">
        <v>182</v>
      </c>
      <c r="B16" s="30">
        <f>IFERROR(B15*'⚙ SETUP'!B19,0)</f>
        <v>7.5</v>
      </c>
      <c r="C16" s="30">
        <f>IFERROR(C15*'⚙ SETUP'!B19,0)</f>
        <v>5.25</v>
      </c>
      <c r="D16" s="30">
        <f>IFERROR(D15*'⚙ SETUP'!B19,0)</f>
        <v>3.6749999999999998</v>
      </c>
      <c r="E16" s="30">
        <f>IFERROR(E15*'⚙ SETUP'!B19,0)</f>
        <v>2.5724999999999998</v>
      </c>
      <c r="F16" s="30">
        <f>IFERROR(F15*'⚙ SETUP'!B19,0)</f>
        <v>1.8007499999999999</v>
      </c>
      <c r="G16" s="30">
        <f>IFERROR(G15*'⚙ SETUP'!B19,0)</f>
        <v>1.2605249999999999</v>
      </c>
      <c r="H16" s="30">
        <f>IFERROR(H15*'⚙ SETUP'!B19,0)</f>
        <v>0.88236749999999986</v>
      </c>
      <c r="I16" s="30">
        <f>IFERROR(I15*'⚙ SETUP'!B19,0)</f>
        <v>0.61765724999999994</v>
      </c>
      <c r="J16" s="30">
        <f>IFERROR(J15*'⚙ SETUP'!B19,0)</f>
        <v>0.43236007499999995</v>
      </c>
      <c r="K16" s="30">
        <f>IFERROR(K15*'⚙ SETUP'!B19,0)</f>
        <v>0.30265205249999999</v>
      </c>
    </row>
    <row r="17" spans="1:11" ht="19.5" customHeight="1" x14ac:dyDescent="0.25">
      <c r="A17" s="6" t="s">
        <v>183</v>
      </c>
      <c r="B17" s="30">
        <f t="shared" ref="B17:K17" si="5">IFERROR(B15-B16,0)</f>
        <v>17.5</v>
      </c>
      <c r="C17" s="30">
        <f t="shared" si="5"/>
        <v>12.25</v>
      </c>
      <c r="D17" s="30">
        <f t="shared" si="5"/>
        <v>8.5749999999999993</v>
      </c>
      <c r="E17" s="30">
        <f t="shared" si="5"/>
        <v>6.0024999999999995</v>
      </c>
      <c r="F17" s="30">
        <f t="shared" si="5"/>
        <v>4.2017499999999997</v>
      </c>
      <c r="G17" s="30">
        <f t="shared" si="5"/>
        <v>2.9412249999999998</v>
      </c>
      <c r="H17" s="30">
        <f t="shared" si="5"/>
        <v>2.0588574999999998</v>
      </c>
      <c r="I17" s="30">
        <f t="shared" si="5"/>
        <v>1.4412002499999998</v>
      </c>
      <c r="J17" s="30">
        <f t="shared" si="5"/>
        <v>1.008840175</v>
      </c>
      <c r="K17" s="30">
        <f t="shared" si="5"/>
        <v>0.70618812249999996</v>
      </c>
    </row>
    <row r="18" spans="1:11" ht="23.25" customHeight="1" x14ac:dyDescent="0.25">
      <c r="A18" s="49" t="s">
        <v>184</v>
      </c>
    </row>
    <row r="19" spans="1:11" ht="31.5" customHeight="1" x14ac:dyDescent="0.25">
      <c r="A19" s="50" t="s">
        <v>185</v>
      </c>
      <c r="B19" s="51">
        <f t="shared" ref="B19:K19" si="6">B6+B11+B16</f>
        <v>37.5</v>
      </c>
      <c r="C19" s="51">
        <f t="shared" si="6"/>
        <v>31.125</v>
      </c>
      <c r="D19" s="51">
        <f t="shared" si="6"/>
        <v>26.006249999999998</v>
      </c>
      <c r="E19" s="51">
        <f t="shared" si="6"/>
        <v>21.857812500000001</v>
      </c>
      <c r="F19" s="51">
        <f t="shared" si="6"/>
        <v>18.466640625</v>
      </c>
      <c r="G19" s="51">
        <f t="shared" si="6"/>
        <v>15.67256953125</v>
      </c>
      <c r="H19" s="51">
        <f t="shared" si="6"/>
        <v>13.354039101562499</v>
      </c>
      <c r="I19" s="51">
        <f t="shared" si="6"/>
        <v>11.417868486328125</v>
      </c>
      <c r="J19" s="51">
        <f t="shared" si="6"/>
        <v>9.7919009633789056</v>
      </c>
      <c r="K19" s="51">
        <f t="shared" si="6"/>
        <v>8.419687011372071</v>
      </c>
    </row>
    <row r="20" spans="1:11" ht="15" customHeight="1" x14ac:dyDescent="0.25">
      <c r="A20" s="8" t="s">
        <v>186</v>
      </c>
      <c r="B20" s="52">
        <f>B19</f>
        <v>37.5</v>
      </c>
      <c r="C20" s="52">
        <f t="shared" ref="C20:K20" si="7">B20+C19</f>
        <v>68.625</v>
      </c>
      <c r="D20" s="52">
        <f t="shared" si="7"/>
        <v>94.631249999999994</v>
      </c>
      <c r="E20" s="52">
        <f t="shared" si="7"/>
        <v>116.48906249999999</v>
      </c>
      <c r="F20" s="52">
        <f t="shared" si="7"/>
        <v>134.95570312499999</v>
      </c>
      <c r="G20" s="52">
        <f t="shared" si="7"/>
        <v>150.62827265624998</v>
      </c>
      <c r="H20" s="52">
        <f t="shared" si="7"/>
        <v>163.98231175781248</v>
      </c>
      <c r="I20" s="52">
        <f t="shared" si="7"/>
        <v>175.40018024414061</v>
      </c>
      <c r="J20" s="52">
        <f t="shared" si="7"/>
        <v>185.19208120751952</v>
      </c>
      <c r="K20" s="52">
        <f t="shared" si="7"/>
        <v>193.6117682188916</v>
      </c>
    </row>
    <row r="21" spans="1:11" ht="27.75" customHeight="1" x14ac:dyDescent="0.25">
      <c r="A21" s="53" t="s">
        <v>187</v>
      </c>
      <c r="B21" s="30">
        <f t="shared" ref="B21:K21" si="8">B7+B12+B17</f>
        <v>212.5</v>
      </c>
      <c r="C21" s="30">
        <f t="shared" si="8"/>
        <v>181.375</v>
      </c>
      <c r="D21" s="30">
        <f t="shared" si="8"/>
        <v>155.36874999999998</v>
      </c>
      <c r="E21" s="30">
        <f t="shared" si="8"/>
        <v>133.51093750000001</v>
      </c>
      <c r="F21" s="30">
        <f t="shared" si="8"/>
        <v>115.044296875</v>
      </c>
      <c r="G21" s="30">
        <f t="shared" si="8"/>
        <v>99.371727343749995</v>
      </c>
      <c r="H21" s="30">
        <f t="shared" si="8"/>
        <v>86.017688242187504</v>
      </c>
      <c r="I21" s="30">
        <f t="shared" si="8"/>
        <v>74.599819755859372</v>
      </c>
      <c r="J21" s="30">
        <f t="shared" si="8"/>
        <v>64.807918792480478</v>
      </c>
      <c r="K21" s="30">
        <f t="shared" si="8"/>
        <v>56.388231781108402</v>
      </c>
    </row>
    <row r="23" spans="1:11" ht="72.75" customHeight="1" x14ac:dyDescent="0.25">
      <c r="A23" s="54" t="s">
        <v>188</v>
      </c>
      <c r="B23" s="55">
        <f>IFERROR(INDEX(B21:K21,1,'⚙ SETUP'!B5),0)</f>
        <v>74.599819755859372</v>
      </c>
      <c r="C23" s="56" t="s">
        <v>189</v>
      </c>
      <c r="D23" s="21"/>
      <c r="E23" s="21"/>
      <c r="F23" s="21"/>
      <c r="G23" s="21"/>
    </row>
    <row r="25" spans="1:11" ht="59.25" customHeight="1" x14ac:dyDescent="0.25">
      <c r="A25" s="57" t="s">
        <v>190</v>
      </c>
      <c r="B25" s="57"/>
      <c r="C25" s="57"/>
      <c r="D25" s="57"/>
      <c r="E25" s="57"/>
      <c r="F25" s="57"/>
      <c r="G25" s="57"/>
      <c r="H25" s="57"/>
      <c r="I25" s="57"/>
      <c r="J25" s="57"/>
      <c r="K25" s="57"/>
    </row>
  </sheetData>
  <mergeCells count="7">
    <mergeCell ref="C23:G23"/>
    <mergeCell ref="A25:K25"/>
    <mergeCell ref="A1:K1"/>
    <mergeCell ref="A2:K2"/>
    <mergeCell ref="A4:K4"/>
    <mergeCell ref="A9:K9"/>
    <mergeCell ref="A14:K14"/>
  </mergeCells>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6C3483"/>
  </sheetPr>
  <dimension ref="A1:F58"/>
  <sheetViews>
    <sheetView tabSelected="1" zoomScaleNormal="100" workbookViewId="0">
      <pane ySplit="2" topLeftCell="A3" activePane="bottomLeft" state="frozen"/>
      <selection pane="bottomLeft" sqref="A1:XFD1048576"/>
    </sheetView>
  </sheetViews>
  <sheetFormatPr defaultColWidth="8.7109375" defaultRowHeight="15" x14ac:dyDescent="0.25"/>
  <cols>
    <col min="1" max="1" width="42" style="1" customWidth="1"/>
    <col min="2" max="2" width="22" style="1" customWidth="1"/>
    <col min="3" max="3" width="26" style="1" customWidth="1"/>
    <col min="4" max="4" width="52.140625" style="1" customWidth="1"/>
    <col min="5" max="16384" width="8.7109375" style="1"/>
  </cols>
  <sheetData>
    <row r="1" spans="1:6" ht="30" customHeight="1" x14ac:dyDescent="0.25">
      <c r="A1" s="2" t="s">
        <v>191</v>
      </c>
      <c r="B1" s="2"/>
      <c r="C1" s="2"/>
      <c r="D1" s="2"/>
    </row>
    <row r="2" spans="1:6" ht="15" customHeight="1" x14ac:dyDescent="0.25">
      <c r="A2" s="39" t="s">
        <v>192</v>
      </c>
      <c r="B2" s="39"/>
      <c r="C2" s="39"/>
      <c r="D2" s="39"/>
    </row>
    <row r="3" spans="1:6" ht="21.75" customHeight="1" x14ac:dyDescent="0.25">
      <c r="A3" s="4" t="s">
        <v>193</v>
      </c>
      <c r="B3" s="4"/>
      <c r="C3" s="4"/>
      <c r="D3" s="4"/>
    </row>
    <row r="4" spans="1:6" ht="21.75" customHeight="1" x14ac:dyDescent="0.25">
      <c r="A4" s="5" t="s">
        <v>194</v>
      </c>
      <c r="B4" s="5" t="s">
        <v>195</v>
      </c>
      <c r="C4" s="5" t="s">
        <v>196</v>
      </c>
      <c r="D4" s="5" t="s">
        <v>197</v>
      </c>
    </row>
    <row r="5" spans="1:6" ht="19.5" customHeight="1" x14ac:dyDescent="0.25">
      <c r="A5" s="58" t="s">
        <v>198</v>
      </c>
      <c r="B5" s="59">
        <f>-'💸 INVESTMENT &amp; WC'!B23</f>
        <v>-325</v>
      </c>
      <c r="C5" s="60" t="s">
        <v>199</v>
      </c>
      <c r="D5" s="30">
        <f>B5</f>
        <v>-325</v>
      </c>
      <c r="E5" s="61">
        <f>B5</f>
        <v>-325</v>
      </c>
      <c r="F5" s="61">
        <f>D5</f>
        <v>-325</v>
      </c>
    </row>
    <row r="6" spans="1:6" ht="19.5" customHeight="1" x14ac:dyDescent="0.25">
      <c r="A6" s="6" t="s">
        <v>117</v>
      </c>
      <c r="B6" s="62">
        <f>IFERROR('📈 REVENUE &amp; COSTS'!B21+'💸 INVESTMENT &amp; WC'!C24,0)</f>
        <v>50.59525</v>
      </c>
      <c r="C6" s="63">
        <f>1/(1+'⚙ SETUP'!B6)^1</f>
        <v>0.89285714285714279</v>
      </c>
      <c r="D6" s="30">
        <f t="shared" ref="D6:D15" si="0">B6*C6</f>
        <v>45.174330357142857</v>
      </c>
      <c r="E6" s="61">
        <f t="shared" ref="E6:E15" si="1">E5+B6</f>
        <v>-274.40474999999998</v>
      </c>
      <c r="F6" s="61">
        <f t="shared" ref="F6:F15" si="2">F5+D6</f>
        <v>-279.82566964285712</v>
      </c>
    </row>
    <row r="7" spans="1:6" ht="19.5" customHeight="1" x14ac:dyDescent="0.25">
      <c r="A7" s="6" t="s">
        <v>118</v>
      </c>
      <c r="B7" s="62">
        <f>IFERROR('📈 REVENUE &amp; COSTS'!C21+'💸 INVESTMENT &amp; WC'!D24,0)</f>
        <v>78.174362500000001</v>
      </c>
      <c r="C7" s="63">
        <f>1/(1+'⚙ SETUP'!B6)^2</f>
        <v>0.79719387755102034</v>
      </c>
      <c r="D7" s="30">
        <f t="shared" si="0"/>
        <v>62.320123166454074</v>
      </c>
      <c r="E7" s="61">
        <f t="shared" si="1"/>
        <v>-196.23038749999998</v>
      </c>
      <c r="F7" s="61">
        <f t="shared" si="2"/>
        <v>-217.50554647640305</v>
      </c>
    </row>
    <row r="8" spans="1:6" ht="19.5" customHeight="1" x14ac:dyDescent="0.25">
      <c r="A8" s="6" t="s">
        <v>119</v>
      </c>
      <c r="B8" s="62">
        <f>IFERROR('📈 REVENUE &amp; COSTS'!D21+'💸 INVESTMENT &amp; WC'!E24,0)</f>
        <v>101.57987312500001</v>
      </c>
      <c r="C8" s="63">
        <f>1/(1+'⚙ SETUP'!B6)^3</f>
        <v>0.71178024781341087</v>
      </c>
      <c r="D8" s="30">
        <f t="shared" si="0"/>
        <v>72.302547265767345</v>
      </c>
      <c r="E8" s="61">
        <f t="shared" si="1"/>
        <v>-94.650514374999972</v>
      </c>
      <c r="F8" s="61">
        <f t="shared" si="2"/>
        <v>-145.20299921063571</v>
      </c>
    </row>
    <row r="9" spans="1:6" ht="19.5" customHeight="1" x14ac:dyDescent="0.25">
      <c r="A9" s="6" t="s">
        <v>120</v>
      </c>
      <c r="B9" s="62">
        <f>IFERROR('📈 REVENUE &amp; COSTS'!E21+'💸 INVESTMENT &amp; WC'!F24,0)</f>
        <v>125.22961140625</v>
      </c>
      <c r="C9" s="63">
        <f>1/(1+'⚙ SETUP'!B6)^4</f>
        <v>0.63551807840483121</v>
      </c>
      <c r="D9" s="30">
        <f t="shared" si="0"/>
        <v>79.58568200028374</v>
      </c>
      <c r="E9" s="61">
        <f t="shared" si="1"/>
        <v>30.579097031250029</v>
      </c>
      <c r="F9" s="61">
        <f t="shared" si="2"/>
        <v>-65.61731721035197</v>
      </c>
    </row>
    <row r="10" spans="1:6" ht="19.5" customHeight="1" x14ac:dyDescent="0.25">
      <c r="A10" s="6" t="s">
        <v>121</v>
      </c>
      <c r="B10" s="62">
        <f>IFERROR('📈 REVENUE &amp; COSTS'!F21+'💸 INVESTMENT &amp; WC'!G24,0)</f>
        <v>137.0971534453125</v>
      </c>
      <c r="C10" s="63">
        <f>1/(1+'⚙ SETUP'!B6)^5</f>
        <v>0.56742685571859919</v>
      </c>
      <c r="D10" s="30">
        <f t="shared" si="0"/>
        <v>77.792606707443994</v>
      </c>
      <c r="E10" s="61">
        <f t="shared" si="1"/>
        <v>167.67625047656253</v>
      </c>
      <c r="F10" s="61">
        <f t="shared" si="2"/>
        <v>12.175289497092024</v>
      </c>
    </row>
    <row r="11" spans="1:6" ht="19.5" customHeight="1" x14ac:dyDescent="0.25">
      <c r="A11" s="6" t="s">
        <v>122</v>
      </c>
      <c r="B11" s="62">
        <f>IFERROR('📈 REVENUE &amp; COSTS'!G21+'💸 INVESTMENT &amp; WC'!H24,0)</f>
        <v>146.87008575101564</v>
      </c>
      <c r="C11" s="63">
        <f>1/(1+'⚙ SETUP'!B6)^6</f>
        <v>0.50663112117732068</v>
      </c>
      <c r="D11" s="30">
        <f t="shared" si="0"/>
        <v>74.408956211446281</v>
      </c>
      <c r="E11" s="61">
        <f t="shared" si="1"/>
        <v>314.54633622757819</v>
      </c>
      <c r="F11" s="61">
        <f t="shared" si="2"/>
        <v>86.584245708538305</v>
      </c>
    </row>
    <row r="12" spans="1:6" ht="19.5" customHeight="1" x14ac:dyDescent="0.25">
      <c r="A12" s="6" t="s">
        <v>123</v>
      </c>
      <c r="B12" s="62">
        <f>IFERROR('📈 REVENUE &amp; COSTS'!H21+'💸 INVESTMENT &amp; WC'!I24,0)</f>
        <v>151.52461164186329</v>
      </c>
      <c r="C12" s="63">
        <f>1/(1+'⚙ SETUP'!B6)^7</f>
        <v>0.45234921533689343</v>
      </c>
      <c r="D12" s="30">
        <f t="shared" si="0"/>
        <v>68.542039180424368</v>
      </c>
      <c r="E12" s="61">
        <f t="shared" si="1"/>
        <v>466.07094786944151</v>
      </c>
      <c r="F12" s="61">
        <f t="shared" si="2"/>
        <v>155.12628488896269</v>
      </c>
    </row>
    <row r="13" spans="1:6" ht="19.5" customHeight="1" x14ac:dyDescent="0.25">
      <c r="A13" s="6" t="s">
        <v>124</v>
      </c>
      <c r="B13" s="62">
        <f>IFERROR('📈 REVENUE &amp; COSTS'!I21+'💸 INVESTMENT &amp; WC'!J24,0)</f>
        <v>206.03727749800879</v>
      </c>
      <c r="C13" s="63">
        <f>1/(1+'⚙ SETUP'!B6)^8</f>
        <v>0.4038832279793691</v>
      </c>
      <c r="D13" s="30">
        <f t="shared" si="0"/>
        <v>83.215000719976814</v>
      </c>
      <c r="E13" s="61">
        <f t="shared" si="1"/>
        <v>672.10822536745036</v>
      </c>
      <c r="F13" s="61">
        <f t="shared" si="2"/>
        <v>238.3412856089395</v>
      </c>
    </row>
    <row r="14" spans="1:6" ht="19.5" customHeight="1" x14ac:dyDescent="0.25">
      <c r="A14" s="6" t="s">
        <v>125</v>
      </c>
      <c r="B14" s="62">
        <f>IFERROR('📈 REVENUE &amp; COSTS'!J21+'💸 INVESTMENT &amp; WC'!K24,0)</f>
        <v>0</v>
      </c>
      <c r="C14" s="63">
        <f>1/(1+'⚙ SETUP'!B6)^9</f>
        <v>0.36061002498157957</v>
      </c>
      <c r="D14" s="30">
        <f t="shared" si="0"/>
        <v>0</v>
      </c>
      <c r="E14" s="61">
        <f t="shared" si="1"/>
        <v>672.10822536745036</v>
      </c>
      <c r="F14" s="61">
        <f t="shared" si="2"/>
        <v>238.3412856089395</v>
      </c>
    </row>
    <row r="15" spans="1:6" ht="19.5" customHeight="1" x14ac:dyDescent="0.25">
      <c r="A15" s="6" t="s">
        <v>126</v>
      </c>
      <c r="B15" s="62">
        <f>IFERROR('📈 REVENUE &amp; COSTS'!K21+'💸 INVESTMENT &amp; WC'!L24,0)</f>
        <v>0</v>
      </c>
      <c r="C15" s="63">
        <f>1/(1+'⚙ SETUP'!B6)^10</f>
        <v>0.32197323659069599</v>
      </c>
      <c r="D15" s="30">
        <f t="shared" si="0"/>
        <v>0</v>
      </c>
      <c r="E15" s="61">
        <f t="shared" si="1"/>
        <v>672.10822536745036</v>
      </c>
      <c r="F15" s="61">
        <f t="shared" si="2"/>
        <v>238.3412856089395</v>
      </c>
    </row>
    <row r="16" spans="1:6" ht="19.5" customHeight="1" x14ac:dyDescent="0.25">
      <c r="A16" s="64" t="s">
        <v>200</v>
      </c>
      <c r="B16" s="65">
        <f>SUM(B5:B15)</f>
        <v>672.10822536745036</v>
      </c>
      <c r="C16" s="37"/>
      <c r="D16" s="65">
        <f>SUM(D5:D15)</f>
        <v>238.3412856089395</v>
      </c>
    </row>
    <row r="18" spans="1:4" ht="24" customHeight="1" x14ac:dyDescent="0.25">
      <c r="A18" s="66" t="s">
        <v>201</v>
      </c>
      <c r="B18" s="66"/>
      <c r="C18" s="66"/>
      <c r="D18" s="66"/>
    </row>
    <row r="19" spans="1:4" ht="21.75" customHeight="1" x14ac:dyDescent="0.25">
      <c r="A19" s="64" t="s">
        <v>202</v>
      </c>
      <c r="B19" s="5" t="s">
        <v>203</v>
      </c>
      <c r="C19" s="5" t="s">
        <v>204</v>
      </c>
      <c r="D19" s="5" t="s">
        <v>205</v>
      </c>
    </row>
    <row r="20" spans="1:4" ht="21.75" customHeight="1" x14ac:dyDescent="0.25">
      <c r="A20" s="4" t="s">
        <v>206</v>
      </c>
      <c r="B20" s="4"/>
      <c r="C20" s="4"/>
      <c r="D20" s="4"/>
    </row>
    <row r="21" spans="1:4" ht="21.75" customHeight="1" x14ac:dyDescent="0.25">
      <c r="A21" s="6" t="s">
        <v>207</v>
      </c>
      <c r="B21" s="67">
        <f>IFERROR((MATCH(0,E5:E15,1)-1)+ABS(INDEX(E5:E15,MATCH(0,E5:E15,1)))/(INDEX(E5:E15,MATCH(0,E5:E15,1)+1)-INDEX(E5:E15,MATCH(0,E5:E15,1))),"Never")</f>
        <v>3.7558157636371625</v>
      </c>
      <c r="C21" s="68">
        <f>'⚙ SETUP'!B9</f>
        <v>4</v>
      </c>
      <c r="D21" s="31" t="str">
        <f>IF(NOT(ISNUMBER(B21)),"❌ No Payback in Project Life",IF(B21&lt;='⚙ SETUP'!B9*0.6,"🟢 STRONG ACCEPT — payback in &lt;"&amp;TEXT('⚙ SETUP'!B9*0.6,"0.0")&amp;" yrs",IF(B21&lt;='⚙ SETUP'!B9,"✅ ACCEPT — within "&amp;TEXT('⚙ SETUP'!B9,"0")&amp;"-yr threshold",IF(B21&lt;='⚙ SETUP'!B9*1.25,"🟡 MARGINAL — slightly above threshold","❌ REJECT — Payback exceeds threshold"))))</f>
        <v>✅ ACCEPT — within 4-yr threshold</v>
      </c>
    </row>
    <row r="23" spans="1:4" ht="21.75" customHeight="1" x14ac:dyDescent="0.25">
      <c r="A23" s="4" t="s">
        <v>208</v>
      </c>
      <c r="B23" s="4"/>
      <c r="C23" s="4"/>
      <c r="D23" s="4"/>
    </row>
    <row r="24" spans="1:4" ht="21.75" customHeight="1" x14ac:dyDescent="0.25">
      <c r="A24" s="6" t="s">
        <v>209</v>
      </c>
      <c r="B24" s="67">
        <f>IFERROR((MATCH(0,F5:F15,1)-1)+ABS(INDEX(F5:F15,MATCH(0,F5:F15,1)))/(INDEX(F5:F15,MATCH(0,F5:F15,1)+1)-INDEX(F5:F15,MATCH(0,F5:F15,1))),"Never")</f>
        <v>4.8434904033633961</v>
      </c>
      <c r="C24" s="68">
        <f>'⚙ SETUP'!B10</f>
        <v>6</v>
      </c>
      <c r="D24" s="31" t="str">
        <f>IF(NOT(ISNUMBER(B24)),"❌ No Discounted Payback",IF(B24&lt;='⚙ SETUP'!B10*0.7,"🟢 STRONG ACCEPT",IF(B24&lt;='⚙ SETUP'!B10,"✅ ACCEPT — within "&amp;TEXT('⚙ SETUP'!B10,"0")&amp;"-yr disc payback threshold",IF(B24&lt;='⚙ SETUP'!B10*1.2,"🟡 MARGINAL — slightly above disc payback threshold","❌ REJECT — Discounted payback exceeds threshold"))))</f>
        <v>✅ ACCEPT — within 6-yr disc payback threshold</v>
      </c>
    </row>
    <row r="26" spans="1:4" ht="21.75" customHeight="1" x14ac:dyDescent="0.25">
      <c r="A26" s="34" t="s">
        <v>210</v>
      </c>
      <c r="B26" s="34"/>
      <c r="C26" s="34"/>
      <c r="D26" s="34"/>
    </row>
    <row r="27" spans="1:4" ht="24" customHeight="1" x14ac:dyDescent="0.25">
      <c r="A27" s="6" t="s">
        <v>211</v>
      </c>
      <c r="B27" s="69">
        <f>NPV('⚙ SETUP'!B6,B6:B15)+B5</f>
        <v>238.34128560893942</v>
      </c>
      <c r="C27" s="70" t="s">
        <v>212</v>
      </c>
      <c r="D27" s="31" t="str">
        <f>IF(B27&gt;ABS('📊 APPRAISAL'!B5)*0.5,"🟢 STRONG ACCEPT — NPV exceeds 50% of investment",IF(B27&gt;0,"✅ ACCEPT — NPV positive (Rs."&amp;TEXT(B27,"#,##0")&amp;"L value created)",IF(B27&gt;-ABS('📊 APPRAISAL'!B5)*0.1,"🟡 MARGINAL — NPV slightly negative; revisit assumptions","❌ REJECT — NPV negative (value destroyed)")))</f>
        <v>🟢 STRONG ACCEPT — NPV exceeds 50% of investment</v>
      </c>
    </row>
    <row r="28" spans="1:4" ht="18" customHeight="1" x14ac:dyDescent="0.25">
      <c r="A28" s="8" t="s">
        <v>213</v>
      </c>
      <c r="B28" s="71">
        <f>SUM(D5:D15)</f>
        <v>238.3412856089395</v>
      </c>
      <c r="C28" s="20" t="s">
        <v>214</v>
      </c>
      <c r="D28" s="20"/>
    </row>
    <row r="30" spans="1:4" ht="21.75" customHeight="1" x14ac:dyDescent="0.25">
      <c r="A30" s="4" t="s">
        <v>215</v>
      </c>
      <c r="B30" s="4"/>
      <c r="C30" s="4"/>
      <c r="D30" s="4"/>
    </row>
    <row r="31" spans="1:4" ht="24" customHeight="1" x14ac:dyDescent="0.25">
      <c r="A31" s="6" t="s">
        <v>216</v>
      </c>
      <c r="B31" s="72">
        <f>IFERROR(IRR(B5:B15),"No IRR")</f>
        <v>0.26662687687192888</v>
      </c>
      <c r="C31" s="73">
        <f>'⚙ SETUP'!B6</f>
        <v>0.12</v>
      </c>
      <c r="D31" s="31" t="str">
        <f>IF(NOT(ISNUMBER(B31)),"❌ No valid IRR",IF(B31&gt;='⚙ SETUP'!B6+'⚙ SETUP'!B11,"🟢 STRONG ACCEPT — IRR "&amp;TEXT(B31,"0.0%")&amp;" (&amp;"&amp;TEXT(B31-'⚙ SETUP'!B6,"0.0%")&amp;" above WACC)",IF(B31&gt;='⚙ SETUP'!B6+'⚙ SETUP'!B12,"✅ ACCEPT — IRR "&amp;TEXT(B31,"0.0%")&amp;" (&amp;"&amp;TEXT(B31-'⚙ SETUP'!B6,"0.0%")&amp;" above WACC)",IF(B31&gt;='⚙ SETUP'!B6,"🟡 MARGINAL — IRR "&amp;TEXT(B31,"0.0%")&amp;" (only "&amp;TEXT(B31-'⚙ SETUP'!B6,"0.0%")&amp;" above WACC)","❌ REJECT — IRR below WACC"))))</f>
        <v>🟢 STRONG ACCEPT — IRR 26.7% (&amp;14.7% above WACC)</v>
      </c>
    </row>
    <row r="32" spans="1:4" ht="18" customHeight="1" x14ac:dyDescent="0.25">
      <c r="A32" s="8" t="s">
        <v>217</v>
      </c>
      <c r="B32" s="42">
        <f>IFERROR(B31-'⚙ SETUP'!B6,"—")</f>
        <v>0.14662687687192888</v>
      </c>
      <c r="C32" s="74" t="str">
        <f>IF(ISNUMBER(B31),IF(B31-'⚙ SETUP'!B6&gt;='⚙ SETUP'!B11,"Strong",IF(B31-'⚙ SETUP'!B6&gt;='⚙ SETUP'!B12,"Accept","Marginal")),"")</f>
        <v>Strong</v>
      </c>
      <c r="D32" s="74"/>
    </row>
    <row r="34" spans="1:4" ht="21.75" customHeight="1" x14ac:dyDescent="0.25">
      <c r="A34" s="4" t="s">
        <v>218</v>
      </c>
      <c r="B34" s="4"/>
      <c r="C34" s="4"/>
      <c r="D34" s="4"/>
    </row>
    <row r="35" spans="1:4" ht="24" customHeight="1" x14ac:dyDescent="0.25">
      <c r="A35" s="6" t="s">
        <v>219</v>
      </c>
      <c r="B35" s="72">
        <f>IFERROR(MIRR(B5:B15,'⚙ SETUP'!B6,'⚙ SETUP'!B7),"No MIRR")</f>
        <v>0.18333264204950139</v>
      </c>
      <c r="C35" s="73">
        <f>'⚙ SETUP'!B6</f>
        <v>0.12</v>
      </c>
      <c r="D35" s="31" t="str">
        <f>IF(NOT(ISNUMBER(B35)),"❌ No valid MIRR",IF(B35&gt;='⚙ SETUP'!B6+'⚙ SETUP'!B11,"🟢 STRONG ACCEPT — MIRR "&amp;TEXT(B35,"0.0%")&amp;" (&amp;"&amp;TEXT(B35-'⚙ SETUP'!B6,"0.0%")&amp;" above WACC)",IF(B35&gt;='⚙ SETUP'!B6+'⚙ SETUP'!B12,"✅ ACCEPT",IF(B35&gt;='⚙ SETUP'!B6,"🟡 MARGINAL — MIRR only "&amp;TEXT(B35-'⚙ SETUP'!B6,"0.0%")&amp;" above WACC","❌ REJECT"))))</f>
        <v>✅ ACCEPT</v>
      </c>
    </row>
    <row r="36" spans="1:4" ht="18" customHeight="1" x14ac:dyDescent="0.25">
      <c r="A36" s="8" t="s">
        <v>220</v>
      </c>
      <c r="B36" s="42">
        <f>'⚙ SETUP'!B7</f>
        <v>0.12</v>
      </c>
      <c r="C36" s="20" t="s">
        <v>221</v>
      </c>
      <c r="D36" s="20"/>
    </row>
    <row r="38" spans="1:4" ht="21.75" customHeight="1" x14ac:dyDescent="0.25">
      <c r="A38" s="4" t="s">
        <v>222</v>
      </c>
      <c r="B38" s="4"/>
      <c r="C38" s="4"/>
      <c r="D38" s="4"/>
    </row>
    <row r="39" spans="1:4" ht="24" customHeight="1" x14ac:dyDescent="0.25">
      <c r="A39" s="6" t="s">
        <v>223</v>
      </c>
      <c r="B39" s="75">
        <f>IFERROR(1+B27/ABS(B5),"—")</f>
        <v>1.7333578018736597</v>
      </c>
      <c r="C39" s="70" t="s">
        <v>224</v>
      </c>
      <c r="D39" s="31" t="str">
        <f>IF(NOT(ISNUMBER(B39)),"❌ Check inputs",IF(B39&gt;=1.5,"🟢 STRONG ACCEPT — PI "&amp;TEXT(B39,"0.00x")&amp;" (excellent value per rupee)",IF(B39&gt;=1.2,"✅ ACCEPT — PI "&amp;TEXT(B39,"0.00x"),IF(B39&gt;=1,"🟡 MARGINAL — PI barely above 1.0x","❌ REJECT — PI &lt; 1.0x"))))</f>
        <v>🟢 STRONG ACCEPT — PI 1.73x (excellent value per rupee)</v>
      </c>
    </row>
    <row r="41" spans="1:4" ht="27.75" customHeight="1" x14ac:dyDescent="0.25">
      <c r="A41" s="76" t="str">
        <f>IF(B27&gt;0,IF(COUNTIF(D21:D39,"*ACCEPT*")&gt;=4,"✅ INVEST — NPV positive and "&amp;TEXT(COUNTIF(D21:D39,"*ACCEPT*"),"0")&amp;" of 6 techniques say Accept","⚠ REVIEW — NPV positive but "&amp;TEXT(6-COUNTIF(D21:D39,"*ACCEPT*"),"0")&amp;" technique(s) raise concerns"),"❌ DO NOT INVEST — NPV is negative (primary criterion failed)")</f>
        <v>✅ INVEST — NPV positive and 6 of 6 techniques say Accept</v>
      </c>
      <c r="B41" s="76"/>
      <c r="C41" s="76"/>
      <c r="D41" s="76"/>
    </row>
    <row r="43" spans="1:4" ht="30.75" customHeight="1" x14ac:dyDescent="0.25">
      <c r="A43" s="47" t="s">
        <v>225</v>
      </c>
      <c r="B43" s="47"/>
      <c r="C43" s="47"/>
      <c r="D43" s="47"/>
    </row>
    <row r="46" spans="1:4" ht="25.5" customHeight="1" x14ac:dyDescent="0.25">
      <c r="A46" s="23" t="s">
        <v>226</v>
      </c>
      <c r="B46" s="23"/>
      <c r="C46" s="23"/>
      <c r="D46" s="23"/>
    </row>
    <row r="47" spans="1:4" ht="18" customHeight="1" x14ac:dyDescent="0.25">
      <c r="A47" s="3" t="str">
        <f>"Sector: General Manufacturing  |  Project Life: "&amp;TEXT('⚙ SETUP'!B5,"0")&amp;" yrs  |  WACC: "&amp;TEXT('⚙ SETUP'!B6,"0.0%")&amp;"  |  Tax Rate: "&amp;TEXT('⚙ SETUP'!B8,"0.00%")&amp;"  |  All figures Rs. Lakhs"</f>
        <v>Sector: General Manufacturing  |  Project Life: 8 yrs  |  WACC: 12.0%  |  Tax Rate: 25.17%  |  All figures Rs. Lakhs</v>
      </c>
      <c r="B47" s="3"/>
      <c r="C47" s="3"/>
      <c r="D47" s="3"/>
    </row>
    <row r="48" spans="1:4" ht="27.75" customHeight="1" x14ac:dyDescent="0.25">
      <c r="A48" s="25" t="s">
        <v>227</v>
      </c>
      <c r="B48" s="25" t="s">
        <v>228</v>
      </c>
      <c r="C48" s="25" t="s">
        <v>229</v>
      </c>
      <c r="D48" s="25" t="s">
        <v>230</v>
      </c>
    </row>
    <row r="49" spans="1:4" ht="38.25" customHeight="1" x14ac:dyDescent="0.25">
      <c r="A49" s="77" t="s">
        <v>231</v>
      </c>
      <c r="B49" s="78">
        <f>B27</f>
        <v>238.34128560893942</v>
      </c>
      <c r="C49" s="8" t="str">
        <f>"&gt; Rs.0L = Accept   |   &gt; Rs."&amp;TEXT(ABS(B5)*0.5,"#,##0")&amp;"L = Strong Accept (&gt;50% of investment)"</f>
        <v>&gt; Rs.0L = Accept   |   &gt; Rs.163L = Strong Accept (&gt;50% of investment)</v>
      </c>
      <c r="D49" s="31" t="str">
        <f>D27</f>
        <v>🟢 STRONG ACCEPT — NPV exceeds 50% of investment</v>
      </c>
    </row>
    <row r="50" spans="1:4" ht="36" customHeight="1" x14ac:dyDescent="0.25">
      <c r="A50" s="6" t="s">
        <v>232</v>
      </c>
      <c r="B50" s="73">
        <f>B31</f>
        <v>0.26662687687192888</v>
      </c>
      <c r="C50" s="8" t="str">
        <f>"&gt;WACC+"&amp;TEXT('⚙ SETUP'!B11,"0%")&amp;" = Strong (&amp;"&amp;TEXT('⚙ SETUP'!B6+'⚙ SETUP'!B11,"0.0%")&amp;")  |  WACC+"&amp;TEXT('⚙ SETUP'!B12,"0%")&amp;" to +"&amp;TEXT('⚙ SETUP'!B11,"0%")&amp;" = Accept"</f>
        <v>&gt;WACC+10% = Strong (&amp;22.0%)  |  WACC+5% to +10% = Accept</v>
      </c>
      <c r="D50" s="6" t="str">
        <f>D31</f>
        <v>🟢 STRONG ACCEPT — IRR 26.7% (&amp;14.7% above WACC)</v>
      </c>
    </row>
    <row r="51" spans="1:4" ht="42" customHeight="1" x14ac:dyDescent="0.25">
      <c r="A51" s="6" t="s">
        <v>233</v>
      </c>
      <c r="B51" s="73">
        <f>B35</f>
        <v>0.18333264204950139</v>
      </c>
      <c r="C51" s="8" t="str">
        <f>"&gt;WACC ("&amp;TEXT('⚙ SETUP'!B6,"0.0%")&amp;") = Accept  |  IRR-MIRR gap = "&amp;TEXT(B31-B35,"0.0%")&amp;" (IRR reinvestment premium)"</f>
        <v>&gt;WACC (12.0%) = Accept  |  IRR-MIRR gap = 8.3% (IRR reinvestment premium)</v>
      </c>
      <c r="D51" s="6" t="str">
        <f>D35</f>
        <v>✅ ACCEPT</v>
      </c>
    </row>
    <row r="52" spans="1:4" ht="38.25" customHeight="1" x14ac:dyDescent="0.25">
      <c r="A52" s="6" t="s">
        <v>234</v>
      </c>
      <c r="B52" s="79">
        <f>B21</f>
        <v>3.7558157636371625</v>
      </c>
      <c r="C52" s="8" t="str">
        <f>"Mfg standard: &lt;"&amp;TEXT('⚙ SETUP'!B9*0.6,"0.0")&amp;"yr Strong | &lt;"&amp;TEXT('⚙ SETUP'!B9,"0")&amp;"yr Accept | &lt;"&amp;TEXT('⚙ SETUP'!B9*1.25,"0.0")&amp;"yr Marginal | &gt;"&amp;TEXT('⚙ SETUP'!B9*1.25,"0.0")&amp;"yr Reject"</f>
        <v>Mfg standard: &lt;2.4yr Strong | &lt;4yr Accept | &lt;5.0yr Marginal | &gt;5.0yr Reject</v>
      </c>
      <c r="D52" s="6" t="str">
        <f>D21</f>
        <v>✅ ACCEPT — within 4-yr threshold</v>
      </c>
    </row>
    <row r="53" spans="1:4" ht="39" customHeight="1" x14ac:dyDescent="0.25">
      <c r="A53" s="6" t="s">
        <v>235</v>
      </c>
      <c r="B53" s="79">
        <f>B24</f>
        <v>4.8434904033633961</v>
      </c>
      <c r="C53" s="8" t="str">
        <f>"Target: &lt;"&amp;TEXT('⚙ SETUP'!B10,"0")&amp;"yr  |  ≤60% of project life ("&amp;TEXT('⚙ SETUP'!B5*0.6,"0.0")&amp;"yr) = Strong  |  ≤70% ("&amp;TEXT('⚙ SETUP'!B5*0.7,"0.0")&amp;"yr) = Accept"</f>
        <v>Target: &lt;6yr  |  ≤60% of project life (4.8yr) = Strong  |  ≤70% (5.6yr) = Accept</v>
      </c>
      <c r="D53" s="6" t="str">
        <f>D24</f>
        <v>✅ ACCEPT — within 6-yr disc payback threshold</v>
      </c>
    </row>
    <row r="54" spans="1:4" ht="45" customHeight="1" x14ac:dyDescent="0.25">
      <c r="A54" s="6" t="s">
        <v>236</v>
      </c>
      <c r="B54" s="80">
        <f>B39</f>
        <v>1.7333578018736597</v>
      </c>
      <c r="C54" s="8" t="s">
        <v>237</v>
      </c>
      <c r="D54" s="6" t="str">
        <f>D39</f>
        <v>🟢 STRONG ACCEPT — PI 1.73x (excellent value per rupee)</v>
      </c>
    </row>
    <row r="56" spans="1:4" ht="25.5" customHeight="1" x14ac:dyDescent="0.25">
      <c r="A56" s="34" t="str">
        <f>"MATRIX SUMMARY: "&amp;TEXT(COUNTIF(D49:D54,"*STRONG*"),"0")&amp;" Strong Accept  |  "&amp;TEXT(COUNTIF(D49:D54,"*ACCEPT*")-COUNTIF(D49:D54,"*STRONG*"),"0")&amp;" Accept  |  "&amp;TEXT(COUNTIF(D49:D54,"*MARGINAL*"),"0")&amp;" Marginal  |  "&amp;TEXT(COUNTIF(D49:D54,"*REJECT*"),"0")&amp;" Reject  |  "&amp;"PRIMARY: "&amp;IF(B27&gt;0,"INVEST — NPV POSITIVE","DO NOT INVEST")</f>
        <v>MATRIX SUMMARY: 3 Strong Accept  |  3 Accept  |  0 Marginal  |  0 Reject  |  PRIMARY: INVEST — NPV POSITIVE</v>
      </c>
      <c r="B56" s="34"/>
      <c r="C56" s="34"/>
      <c r="D56" s="34"/>
    </row>
    <row r="58" spans="1:4" ht="60.75" customHeight="1" x14ac:dyDescent="0.25">
      <c r="A58" s="20" t="s">
        <v>238</v>
      </c>
      <c r="B58" s="20"/>
      <c r="C58" s="20"/>
      <c r="D58" s="20"/>
    </row>
  </sheetData>
  <sheetProtection algorithmName="SHA-512" hashValue="dx6IEL5X9Y42TjEt2FDBj4rGNrSJ0wUD1MBF4Ozz4Vcj7aqLmBIxe4mtgn/zZYEhvw8QGZPlxHwooFKDRDRG0g==" saltValue="ngb+MfwTL67G8bLK15hNlQ==" spinCount="100000" sheet="1" objects="1" scenarios="1"/>
  <mergeCells count="19">
    <mergeCell ref="A46:D46"/>
    <mergeCell ref="A47:D47"/>
    <mergeCell ref="A56:D56"/>
    <mergeCell ref="A58:D58"/>
    <mergeCell ref="A34:D34"/>
    <mergeCell ref="C36:D36"/>
    <mergeCell ref="A38:D38"/>
    <mergeCell ref="A41:D41"/>
    <mergeCell ref="A43:D43"/>
    <mergeCell ref="A23:D23"/>
    <mergeCell ref="A26:D26"/>
    <mergeCell ref="C28:D28"/>
    <mergeCell ref="A30:D30"/>
    <mergeCell ref="C32:D32"/>
    <mergeCell ref="A1:D1"/>
    <mergeCell ref="A2:D2"/>
    <mergeCell ref="A3:D3"/>
    <mergeCell ref="A18:D18"/>
    <mergeCell ref="A20:D20"/>
  </mergeCells>
  <pageMargins left="0.75" right="0.75" top="1" bottom="1"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A04000"/>
  </sheetPr>
  <dimension ref="A1:F40"/>
  <sheetViews>
    <sheetView zoomScaleNormal="100" workbookViewId="0">
      <pane xSplit="1" ySplit="2" topLeftCell="B3" activePane="bottomRight" state="frozen"/>
      <selection pane="topRight" activeCell="B1" sqref="B1"/>
      <selection pane="bottomLeft" activeCell="A3" sqref="A3"/>
      <selection pane="bottomRight" activeCell="C33" sqref="C33"/>
    </sheetView>
  </sheetViews>
  <sheetFormatPr defaultColWidth="8.7109375" defaultRowHeight="15" x14ac:dyDescent="0.25"/>
  <cols>
    <col min="1" max="1" width="36" style="1" customWidth="1"/>
    <col min="2" max="3" width="18" style="1" customWidth="1"/>
    <col min="4" max="4" width="43.85546875" style="1" customWidth="1"/>
    <col min="5" max="16384" width="8.7109375" style="1"/>
  </cols>
  <sheetData>
    <row r="1" spans="1:6" ht="30" customHeight="1" x14ac:dyDescent="0.25">
      <c r="A1" s="2" t="s">
        <v>275</v>
      </c>
      <c r="B1" s="2"/>
      <c r="C1" s="2"/>
      <c r="D1" s="2"/>
    </row>
    <row r="2" spans="1:6" ht="15" customHeight="1" x14ac:dyDescent="0.25">
      <c r="A2" s="39" t="s">
        <v>276</v>
      </c>
      <c r="B2" s="39"/>
      <c r="C2" s="39"/>
      <c r="D2" s="39"/>
    </row>
    <row r="3" spans="1:6" ht="21.75" customHeight="1" x14ac:dyDescent="0.25">
      <c r="A3" s="17" t="s">
        <v>277</v>
      </c>
      <c r="B3" s="17"/>
      <c r="C3" s="17"/>
      <c r="D3" s="17"/>
    </row>
    <row r="4" spans="1:6" ht="25.5" customHeight="1" x14ac:dyDescent="0.25">
      <c r="A4" s="5" t="s">
        <v>194</v>
      </c>
      <c r="B4" s="5" t="s">
        <v>278</v>
      </c>
      <c r="C4" s="5" t="s">
        <v>279</v>
      </c>
      <c r="D4" s="5" t="s">
        <v>82</v>
      </c>
    </row>
    <row r="5" spans="1:6" ht="19.5" customHeight="1" x14ac:dyDescent="0.25">
      <c r="A5" s="58" t="s">
        <v>280</v>
      </c>
      <c r="B5" s="59">
        <f>'📊 APPRAISAL'!B5</f>
        <v>-325</v>
      </c>
      <c r="C5" s="26">
        <v>-50</v>
      </c>
      <c r="D5" s="8" t="s">
        <v>281</v>
      </c>
      <c r="E5" s="83">
        <f>C5</f>
        <v>-50</v>
      </c>
      <c r="F5" s="83">
        <f>C5</f>
        <v>-50</v>
      </c>
    </row>
    <row r="6" spans="1:6" ht="19.5" customHeight="1" x14ac:dyDescent="0.25">
      <c r="A6" s="6" t="s">
        <v>117</v>
      </c>
      <c r="B6" s="62">
        <f>'📊 APPRAISAL'!B6</f>
        <v>50.59525</v>
      </c>
      <c r="C6" s="26">
        <v>28</v>
      </c>
      <c r="D6" s="8" t="s">
        <v>282</v>
      </c>
      <c r="E6" s="83">
        <f t="shared" ref="E6:E15" si="0">E5+C6</f>
        <v>-22</v>
      </c>
      <c r="F6" s="83">
        <f>F5+C6/(1+C18)^1</f>
        <v>-25.000000000000004</v>
      </c>
    </row>
    <row r="7" spans="1:6" ht="19.5" customHeight="1" x14ac:dyDescent="0.25">
      <c r="A7" s="6" t="s">
        <v>118</v>
      </c>
      <c r="B7" s="62">
        <f>'📊 APPRAISAL'!B7</f>
        <v>78.174362500000001</v>
      </c>
      <c r="C7" s="26">
        <v>24</v>
      </c>
      <c r="D7" s="8"/>
      <c r="E7" s="83">
        <f t="shared" si="0"/>
        <v>2</v>
      </c>
      <c r="F7" s="83">
        <f>F6+C7/(1+C18)^2</f>
        <v>-5.8673469387755155</v>
      </c>
    </row>
    <row r="8" spans="1:6" ht="19.5" customHeight="1" x14ac:dyDescent="0.25">
      <c r="A8" s="6" t="s">
        <v>119</v>
      </c>
      <c r="B8" s="62">
        <f>'📊 APPRAISAL'!B8</f>
        <v>101.57987312500001</v>
      </c>
      <c r="C8" s="26">
        <v>19</v>
      </c>
      <c r="D8" s="8"/>
      <c r="E8" s="83">
        <f t="shared" si="0"/>
        <v>21</v>
      </c>
      <c r="F8" s="83">
        <f>F7+C8/(1+C18)^3</f>
        <v>7.6564777696792916</v>
      </c>
    </row>
    <row r="9" spans="1:6" ht="19.5" customHeight="1" x14ac:dyDescent="0.25">
      <c r="A9" s="6" t="s">
        <v>120</v>
      </c>
      <c r="B9" s="62">
        <f>'📊 APPRAISAL'!B9</f>
        <v>125.22961140625</v>
      </c>
      <c r="C9" s="26">
        <v>14</v>
      </c>
      <c r="D9" s="8"/>
      <c r="E9" s="83">
        <f t="shared" si="0"/>
        <v>35</v>
      </c>
      <c r="F9" s="83">
        <f>F8+C9/(1+C18)^4</f>
        <v>16.553730867346928</v>
      </c>
    </row>
    <row r="10" spans="1:6" ht="19.5" customHeight="1" x14ac:dyDescent="0.25">
      <c r="A10" s="6" t="s">
        <v>121</v>
      </c>
      <c r="B10" s="62">
        <f>'📊 APPRAISAL'!B10</f>
        <v>137.0971534453125</v>
      </c>
      <c r="C10" s="26">
        <v>8</v>
      </c>
      <c r="D10" s="8" t="s">
        <v>283</v>
      </c>
      <c r="E10" s="83">
        <f t="shared" si="0"/>
        <v>43</v>
      </c>
      <c r="F10" s="83">
        <f>F9+C10/(1+C18)^5</f>
        <v>21.093145713095723</v>
      </c>
    </row>
    <row r="11" spans="1:6" ht="19.5" customHeight="1" x14ac:dyDescent="0.25">
      <c r="A11" s="6" t="s">
        <v>122</v>
      </c>
      <c r="B11" s="62">
        <f>'📊 APPRAISAL'!B11</f>
        <v>146.87008575101564</v>
      </c>
      <c r="C11" s="26">
        <v>0</v>
      </c>
      <c r="D11" s="8"/>
      <c r="E11" s="83">
        <f t="shared" si="0"/>
        <v>43</v>
      </c>
      <c r="F11" s="83">
        <f>F10+C11/(1+C18)^6</f>
        <v>21.093145713095723</v>
      </c>
    </row>
    <row r="12" spans="1:6" ht="19.5" customHeight="1" x14ac:dyDescent="0.25">
      <c r="A12" s="6" t="s">
        <v>123</v>
      </c>
      <c r="B12" s="62">
        <f>'📊 APPRAISAL'!B12</f>
        <v>151.52461164186329</v>
      </c>
      <c r="C12" s="26">
        <v>0</v>
      </c>
      <c r="D12" s="8"/>
      <c r="E12" s="83">
        <f t="shared" si="0"/>
        <v>43</v>
      </c>
      <c r="F12" s="83">
        <f>F11+C12/(1+C18)^7</f>
        <v>21.093145713095723</v>
      </c>
    </row>
    <row r="13" spans="1:6" ht="19.5" customHeight="1" x14ac:dyDescent="0.25">
      <c r="A13" s="6" t="s">
        <v>124</v>
      </c>
      <c r="B13" s="62">
        <f>'📊 APPRAISAL'!B13</f>
        <v>206.03727749800879</v>
      </c>
      <c r="C13" s="26">
        <v>0</v>
      </c>
      <c r="D13" s="8"/>
      <c r="E13" s="83">
        <f t="shared" si="0"/>
        <v>43</v>
      </c>
      <c r="F13" s="83">
        <f>F12+C13/(1+C18)^8</f>
        <v>21.093145713095723</v>
      </c>
    </row>
    <row r="14" spans="1:6" ht="19.5" customHeight="1" x14ac:dyDescent="0.25">
      <c r="A14" s="6" t="s">
        <v>125</v>
      </c>
      <c r="B14" s="62">
        <f>'📊 APPRAISAL'!B14</f>
        <v>0</v>
      </c>
      <c r="C14" s="26">
        <v>0</v>
      </c>
      <c r="D14" s="8"/>
      <c r="E14" s="83">
        <f t="shared" si="0"/>
        <v>43</v>
      </c>
      <c r="F14" s="83">
        <f>F13+C14/(1+C18)^9</f>
        <v>21.093145713095723</v>
      </c>
    </row>
    <row r="15" spans="1:6" ht="19.5" customHeight="1" x14ac:dyDescent="0.25">
      <c r="A15" s="6" t="s">
        <v>126</v>
      </c>
      <c r="B15" s="62">
        <f>'📊 APPRAISAL'!B15</f>
        <v>0</v>
      </c>
      <c r="C15" s="26">
        <v>0</v>
      </c>
      <c r="D15" s="8"/>
      <c r="E15" s="83">
        <f t="shared" si="0"/>
        <v>43</v>
      </c>
      <c r="F15" s="83">
        <f>F14+C15/(1+C18)^10</f>
        <v>21.093145713095723</v>
      </c>
    </row>
    <row r="17" spans="1:4" ht="21.75" customHeight="1" x14ac:dyDescent="0.25">
      <c r="A17" s="4" t="s">
        <v>284</v>
      </c>
      <c r="B17" s="4"/>
      <c r="C17" s="4"/>
      <c r="D17" s="4"/>
    </row>
    <row r="18" spans="1:4" ht="19.5" customHeight="1" x14ac:dyDescent="0.25">
      <c r="A18" s="6" t="s">
        <v>285</v>
      </c>
      <c r="B18" s="84">
        <f>'⚙ SETUP'!B6</f>
        <v>0.12</v>
      </c>
      <c r="C18" s="9">
        <v>0.12</v>
      </c>
      <c r="D18" s="8" t="s">
        <v>286</v>
      </c>
    </row>
    <row r="19" spans="1:4" ht="19.5" customHeight="1" x14ac:dyDescent="0.25">
      <c r="A19" s="6" t="s">
        <v>287</v>
      </c>
      <c r="B19" s="84">
        <f>'⚙ SETUP'!B7</f>
        <v>0.12</v>
      </c>
      <c r="C19" s="9">
        <v>0.12</v>
      </c>
      <c r="D19" s="8" t="s">
        <v>288</v>
      </c>
    </row>
    <row r="21" spans="1:4" ht="19.5" customHeight="1" x14ac:dyDescent="0.25">
      <c r="A21" s="6" t="s">
        <v>289</v>
      </c>
      <c r="B21" s="30">
        <f>'📊 APPRAISAL'!B27</f>
        <v>238.34128560893942</v>
      </c>
      <c r="C21" s="30">
        <f>NPV(C18,C6:C15)+C5</f>
        <v>21.093145713095723</v>
      </c>
    </row>
    <row r="22" spans="1:4" ht="19.5" customHeight="1" x14ac:dyDescent="0.25">
      <c r="A22" s="6" t="s">
        <v>290</v>
      </c>
      <c r="B22" s="84">
        <f>'📊 APPRAISAL'!B31</f>
        <v>0.26662687687192888</v>
      </c>
      <c r="C22" s="84">
        <f>IFERROR(IRR(C5:C15),"No IRR")</f>
        <v>0.31812634873347689</v>
      </c>
    </row>
    <row r="23" spans="1:4" ht="19.5" customHeight="1" x14ac:dyDescent="0.25">
      <c r="A23" s="6" t="s">
        <v>291</v>
      </c>
      <c r="B23" s="84">
        <f>'📊 APPRAISAL'!B35</f>
        <v>0.18333264204950139</v>
      </c>
      <c r="C23" s="84">
        <f>IFERROR(MIRR(C5:C15,C18,C19),"No MIRR")</f>
        <v>0.16012235456964641</v>
      </c>
    </row>
    <row r="24" spans="1:4" ht="19.5" customHeight="1" x14ac:dyDescent="0.25">
      <c r="A24" s="6" t="s">
        <v>292</v>
      </c>
      <c r="B24" s="85">
        <f>'📊 APPRAISAL'!B39</f>
        <v>1.7333578018736597</v>
      </c>
      <c r="C24" s="85">
        <f>IFERROR(1+C21/ABS(C5),"—")</f>
        <v>1.4218629142619146</v>
      </c>
    </row>
    <row r="25" spans="1:4" ht="19.5" customHeight="1" x14ac:dyDescent="0.25">
      <c r="A25" s="6" t="s">
        <v>293</v>
      </c>
      <c r="B25" s="86">
        <f>'📊 APPRAISAL'!B21</f>
        <v>3.7558157636371625</v>
      </c>
      <c r="C25" s="87">
        <f>IFERROR((MATCH(0,E5:E15,1)-1)+ABS(INDEX(E5:E15,MATCH(0,E5:E15,1)))/(INDEX(E5:E15,MATCH(0,E5:E15,1)+1)-INDEX(E5:E15,MATCH(0,E5:E15,1))),"Never")</f>
        <v>1.9166666666666665</v>
      </c>
    </row>
    <row r="26" spans="1:4" ht="19.5" customHeight="1" x14ac:dyDescent="0.25">
      <c r="A26" s="6" t="s">
        <v>294</v>
      </c>
      <c r="B26" s="86">
        <f>'📊 APPRAISAL'!B24</f>
        <v>4.8434904033633961</v>
      </c>
      <c r="C26" s="87">
        <f>IFERROR((MATCH(0,F5:F15,1)-1)+ABS(INDEX(F5:F15,MATCH(0,F5:F15,1)))/(INDEX(F5:F15,MATCH(0,F5:F15,1)+1)-INDEX(F5:F15,MATCH(0,F5:F15,1))),"Never")</f>
        <v>2.4338526315789477</v>
      </c>
    </row>
    <row r="28" spans="1:4" ht="24" customHeight="1" x14ac:dyDescent="0.25">
      <c r="A28" s="88" t="s">
        <v>295</v>
      </c>
      <c r="B28" s="88"/>
      <c r="C28" s="88"/>
      <c r="D28" s="88"/>
    </row>
    <row r="29" spans="1:4" ht="21.75" customHeight="1" x14ac:dyDescent="0.25">
      <c r="A29" s="64" t="s">
        <v>296</v>
      </c>
      <c r="B29" s="5" t="s">
        <v>297</v>
      </c>
      <c r="C29" s="5" t="s">
        <v>298</v>
      </c>
      <c r="D29" s="5" t="s">
        <v>299</v>
      </c>
    </row>
    <row r="30" spans="1:4" ht="21.75" customHeight="1" x14ac:dyDescent="0.25">
      <c r="A30" s="31" t="s">
        <v>300</v>
      </c>
      <c r="B30" s="89">
        <f>'📊 APPRAISAL'!B27</f>
        <v>238.34128560893942</v>
      </c>
      <c r="C30" s="89">
        <f t="shared" ref="C30:C35" si="1">C21</f>
        <v>21.093145713095723</v>
      </c>
      <c r="D30" s="31" t="str">
        <f>IF(B30&gt;C30,"✅ A has higher NPV — prefer A","✅ B has higher NPV — prefer B")</f>
        <v>✅ A has higher NPV — prefer A</v>
      </c>
    </row>
    <row r="31" spans="1:4" ht="21.75" customHeight="1" x14ac:dyDescent="0.25">
      <c r="A31" s="90" t="s">
        <v>301</v>
      </c>
      <c r="B31" s="91">
        <f>'📊 APPRAISAL'!B31</f>
        <v>0.26662687687192888</v>
      </c>
      <c r="C31" s="91">
        <f t="shared" si="1"/>
        <v>0.31812634873347689</v>
      </c>
      <c r="D31" s="92" t="str">
        <f>IF(B30&gt;C30,"A has higher IRR","B has higher IRR")&amp;" — IRR alone does not determine choice"</f>
        <v>A has higher IRR — IRR alone does not determine choice</v>
      </c>
    </row>
    <row r="32" spans="1:4" ht="21.75" customHeight="1" x14ac:dyDescent="0.25">
      <c r="A32" s="6" t="s">
        <v>291</v>
      </c>
      <c r="B32" s="93">
        <f>'📊 APPRAISAL'!B35</f>
        <v>0.18333264204950139</v>
      </c>
      <c r="C32" s="93">
        <f t="shared" si="1"/>
        <v>0.16012235456964641</v>
      </c>
      <c r="D32" s="8" t="str">
        <f>IF(B30&gt;C30,"A has higher MIRR","B has higher MIRR")</f>
        <v>A has higher MIRR</v>
      </c>
    </row>
    <row r="33" spans="1:4" ht="21.75" customHeight="1" x14ac:dyDescent="0.25">
      <c r="A33" s="6" t="s">
        <v>292</v>
      </c>
      <c r="B33" s="94">
        <f>'📊 APPRAISAL'!B39</f>
        <v>1.7333578018736597</v>
      </c>
      <c r="C33" s="94">
        <f t="shared" si="1"/>
        <v>1.4218629142619146</v>
      </c>
      <c r="D33" s="8" t="str">
        <f>IF(B30&gt;C30,"A has higher PI","B has higher PI")&amp;" (PI consistent with NPV ranking)"</f>
        <v>A has higher PI (PI consistent with NPV ranking)</v>
      </c>
    </row>
    <row r="34" spans="1:4" ht="21.75" customHeight="1" x14ac:dyDescent="0.25">
      <c r="A34" s="6" t="s">
        <v>302</v>
      </c>
      <c r="B34" s="95">
        <f>'📊 APPRAISAL'!B21</f>
        <v>3.7558157636371625</v>
      </c>
      <c r="C34" s="95">
        <f t="shared" si="1"/>
        <v>1.9166666666666665</v>
      </c>
      <c r="D34" s="8" t="str">
        <f>IF(ISNUMBER(B34)*ISNUMBER(C34),IF(B34&lt;C34,"A recovers faster","B recovers faster"),"Check inputs")</f>
        <v>B recovers faster</v>
      </c>
    </row>
    <row r="35" spans="1:4" ht="21.75" customHeight="1" x14ac:dyDescent="0.25">
      <c r="A35" s="6" t="s">
        <v>294</v>
      </c>
      <c r="B35" s="95">
        <f>'📊 APPRAISAL'!B24</f>
        <v>4.8434904033633961</v>
      </c>
      <c r="C35" s="95">
        <f t="shared" si="1"/>
        <v>2.4338526315789477</v>
      </c>
      <c r="D35" s="8" t="str">
        <f>IF(ISNUMBER(B35)*ISNUMBER(C35),IF(B35&lt;C35,"A recovers faster (PV basis)","B recovers faster (PV basis)"),"Check inputs")</f>
        <v>B recovers faster (PV basis)</v>
      </c>
    </row>
    <row r="37" spans="1:4" ht="24" customHeight="1" x14ac:dyDescent="0.25">
      <c r="A37" s="88" t="s">
        <v>303</v>
      </c>
      <c r="B37" s="88"/>
      <c r="C37" s="88"/>
      <c r="D37" s="88"/>
    </row>
    <row r="38" spans="1:4" ht="36" customHeight="1" x14ac:dyDescent="0.25">
      <c r="A38" s="48" t="str">
        <f>IF(B30&gt;C30,"CHOOSE PROJECT A  |  NPV: Rs."&amp;TEXT(B30,"#,##0")&amp;"L vs Rs."&amp;TEXT(C30,"#,##0")&amp;"L  |  IRR: "&amp;TEXT(B31,"0.0%")&amp;" vs "&amp;TEXT(C31,"0.0%")&amp;"  |  If B has higher IRR, this is the NPV-IRR conflict — NPV is the correct criterion for mutually exclusive projects.","CHOOSE PROJECT B  |  NPV: Rs."&amp;TEXT(C30,"#,##0")&amp;"L vs Rs."&amp;TEXT(B30,"#,##0")&amp;"L  |  NPV maximisation = maximum wealth creation for shareholders.")</f>
        <v>CHOOSE PROJECT A  |  NPV: Rs.238L vs Rs.21L  |  IRR: 26.7% vs 31.8%  |  If B has higher IRR, this is the NPV-IRR conflict — NPV is the correct criterion for mutually exclusive projects.</v>
      </c>
      <c r="B38" s="48"/>
      <c r="C38" s="48"/>
      <c r="D38" s="48"/>
    </row>
    <row r="40" spans="1:4" ht="47.25" customHeight="1" x14ac:dyDescent="0.25">
      <c r="A40" s="47" t="s">
        <v>304</v>
      </c>
      <c r="B40" s="47"/>
      <c r="C40" s="47"/>
      <c r="D40" s="47"/>
    </row>
  </sheetData>
  <mergeCells count="8">
    <mergeCell ref="A37:D37"/>
    <mergeCell ref="A38:D38"/>
    <mergeCell ref="A40:D40"/>
    <mergeCell ref="A1:D1"/>
    <mergeCell ref="A2:D2"/>
    <mergeCell ref="A3:D3"/>
    <mergeCell ref="A17:D17"/>
    <mergeCell ref="A28:D28"/>
  </mergeCells>
  <pageMargins left="0.75" right="0.75" top="1" bottom="1"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6C3483"/>
  </sheetPr>
  <dimension ref="A1:J43"/>
  <sheetViews>
    <sheetView zoomScaleNormal="100" workbookViewId="0">
      <pane xSplit="1" ySplit="3" topLeftCell="B4" activePane="bottomRight" state="frozen"/>
      <selection pane="topRight" activeCell="B1" sqref="B1"/>
      <selection pane="bottomLeft" activeCell="A4" sqref="A4"/>
      <selection pane="bottomRight" activeCell="C37" sqref="C37:J37"/>
    </sheetView>
  </sheetViews>
  <sheetFormatPr defaultColWidth="8.7109375" defaultRowHeight="15" x14ac:dyDescent="0.25"/>
  <cols>
    <col min="1" max="1" width="4" style="1" customWidth="1"/>
    <col min="2" max="2" width="32.7109375" style="1" customWidth="1"/>
    <col min="3" max="3" width="16" style="1" customWidth="1"/>
    <col min="4" max="4" width="14" style="1" customWidth="1"/>
    <col min="5" max="6" width="12" style="1" customWidth="1"/>
    <col min="7" max="7" width="14" style="1" customWidth="1"/>
    <col min="8" max="8" width="29.42578125" style="1" customWidth="1"/>
    <col min="9" max="9" width="20" style="1" customWidth="1"/>
    <col min="10" max="10" width="28" style="1" customWidth="1"/>
    <col min="11" max="16384" width="8.7109375" style="1"/>
  </cols>
  <sheetData>
    <row r="1" spans="1:10" ht="30" customHeight="1" x14ac:dyDescent="0.25">
      <c r="A1" s="2" t="s">
        <v>305</v>
      </c>
      <c r="B1" s="2"/>
      <c r="C1" s="2"/>
      <c r="D1" s="2"/>
      <c r="E1" s="2"/>
      <c r="F1" s="2"/>
      <c r="G1" s="2"/>
      <c r="H1" s="2"/>
      <c r="I1" s="2"/>
      <c r="J1" s="2"/>
    </row>
    <row r="2" spans="1:10" ht="18" customHeight="1" x14ac:dyDescent="0.25">
      <c r="A2" s="3" t="s">
        <v>306</v>
      </c>
      <c r="B2" s="3"/>
      <c r="C2" s="3"/>
      <c r="D2" s="3"/>
      <c r="E2" s="3"/>
      <c r="F2" s="3"/>
      <c r="G2" s="3"/>
      <c r="H2" s="3"/>
      <c r="I2" s="3"/>
      <c r="J2" s="3"/>
    </row>
    <row r="3" spans="1:10" ht="21.75" customHeight="1" x14ac:dyDescent="0.25">
      <c r="A3" s="17" t="s">
        <v>307</v>
      </c>
      <c r="B3" s="17"/>
      <c r="C3" s="17"/>
      <c r="D3" s="17"/>
      <c r="E3" s="17"/>
      <c r="F3" s="17"/>
      <c r="G3" s="17"/>
      <c r="H3" s="17"/>
      <c r="I3" s="17"/>
      <c r="J3" s="17"/>
    </row>
    <row r="4" spans="1:10" ht="21.75" customHeight="1" x14ac:dyDescent="0.25">
      <c r="A4" s="24"/>
      <c r="B4" s="6" t="s">
        <v>308</v>
      </c>
      <c r="C4" s="26">
        <v>500</v>
      </c>
      <c r="D4" s="20" t="s">
        <v>309</v>
      </c>
      <c r="E4" s="20"/>
      <c r="F4" s="20"/>
      <c r="G4" s="20"/>
      <c r="H4" s="20"/>
      <c r="I4" s="20"/>
      <c r="J4" s="20"/>
    </row>
    <row r="6" spans="1:10" ht="21.75" customHeight="1" x14ac:dyDescent="0.25">
      <c r="A6" s="4" t="s">
        <v>310</v>
      </c>
      <c r="B6" s="4"/>
      <c r="C6" s="4"/>
      <c r="D6" s="4"/>
      <c r="E6" s="4"/>
      <c r="F6" s="4"/>
      <c r="G6" s="4"/>
      <c r="H6" s="4"/>
      <c r="I6" s="4"/>
      <c r="J6" s="4"/>
    </row>
    <row r="7" spans="1:10" ht="31.5" customHeight="1" x14ac:dyDescent="0.25">
      <c r="A7" s="5" t="s">
        <v>311</v>
      </c>
      <c r="B7" s="5" t="s">
        <v>7</v>
      </c>
      <c r="C7" s="5" t="s">
        <v>312</v>
      </c>
      <c r="D7" s="5" t="s">
        <v>313</v>
      </c>
      <c r="E7" s="5" t="s">
        <v>314</v>
      </c>
      <c r="F7" s="5" t="s">
        <v>315</v>
      </c>
      <c r="G7" s="5" t="s">
        <v>316</v>
      </c>
      <c r="H7" s="5" t="s">
        <v>317</v>
      </c>
      <c r="I7" s="5" t="s">
        <v>318</v>
      </c>
      <c r="J7" s="5" t="s">
        <v>319</v>
      </c>
    </row>
    <row r="8" spans="1:10" ht="21.75" customHeight="1" x14ac:dyDescent="0.25">
      <c r="A8" s="70">
        <v>1</v>
      </c>
      <c r="B8" s="96" t="s">
        <v>320</v>
      </c>
      <c r="C8" s="26">
        <v>325</v>
      </c>
      <c r="D8" s="26">
        <v>234</v>
      </c>
      <c r="E8" s="97">
        <f t="shared" ref="E8:E15" si="0">IFERROR(1+D8/C8,0)</f>
        <v>1.72</v>
      </c>
      <c r="F8" s="98">
        <f>IFERROR(RANK(E8,E8:E15,0),"—")</f>
        <v>1</v>
      </c>
    </row>
    <row r="9" spans="1:10" ht="21.75" customHeight="1" x14ac:dyDescent="0.25">
      <c r="A9" s="70">
        <v>2</v>
      </c>
      <c r="B9" s="96" t="s">
        <v>321</v>
      </c>
      <c r="C9" s="26">
        <v>50</v>
      </c>
      <c r="D9" s="26">
        <v>21.1</v>
      </c>
      <c r="E9" s="97">
        <f t="shared" si="0"/>
        <v>1.4220000000000002</v>
      </c>
      <c r="F9" s="98">
        <f>IFERROR(RANK(E9,E8:E15,0),"—")</f>
        <v>6</v>
      </c>
    </row>
    <row r="10" spans="1:10" ht="21.75" customHeight="1" x14ac:dyDescent="0.25">
      <c r="A10" s="70">
        <v>3</v>
      </c>
      <c r="B10" s="96" t="s">
        <v>322</v>
      </c>
      <c r="C10" s="26">
        <v>120</v>
      </c>
      <c r="D10" s="26">
        <v>72</v>
      </c>
      <c r="E10" s="97">
        <f t="shared" si="0"/>
        <v>1.6</v>
      </c>
      <c r="F10" s="98">
        <f>IFERROR(RANK(E10,E8:E15,0),"—")</f>
        <v>2</v>
      </c>
    </row>
    <row r="11" spans="1:10" ht="21.75" customHeight="1" x14ac:dyDescent="0.25">
      <c r="A11" s="70">
        <v>4</v>
      </c>
      <c r="B11" s="96" t="s">
        <v>323</v>
      </c>
      <c r="C11" s="26">
        <v>200</v>
      </c>
      <c r="D11" s="26">
        <v>110</v>
      </c>
      <c r="E11" s="97">
        <f t="shared" si="0"/>
        <v>1.55</v>
      </c>
      <c r="F11" s="98">
        <f>IFERROR(RANK(E11,E8:E15,0),"—")</f>
        <v>3</v>
      </c>
    </row>
    <row r="12" spans="1:10" ht="21.75" customHeight="1" x14ac:dyDescent="0.25">
      <c r="A12" s="70">
        <v>5</v>
      </c>
      <c r="B12" s="96" t="s">
        <v>324</v>
      </c>
      <c r="C12" s="26">
        <v>180</v>
      </c>
      <c r="D12" s="26">
        <v>88</v>
      </c>
      <c r="E12" s="97">
        <f t="shared" si="0"/>
        <v>1.4888888888888889</v>
      </c>
      <c r="F12" s="98">
        <f>IFERROR(RANK(E12,E8:E15,0),"—")</f>
        <v>4</v>
      </c>
    </row>
    <row r="13" spans="1:10" ht="21.75" customHeight="1" x14ac:dyDescent="0.25">
      <c r="A13" s="70">
        <v>6</v>
      </c>
      <c r="B13" s="96" t="s">
        <v>325</v>
      </c>
      <c r="C13" s="26">
        <v>80</v>
      </c>
      <c r="D13" s="26">
        <v>28</v>
      </c>
      <c r="E13" s="97">
        <f t="shared" si="0"/>
        <v>1.35</v>
      </c>
      <c r="F13" s="98">
        <f>IFERROR(RANK(E13,E8:E15,0),"—")</f>
        <v>7</v>
      </c>
    </row>
    <row r="14" spans="1:10" ht="21.75" customHeight="1" x14ac:dyDescent="0.25">
      <c r="A14" s="70">
        <v>7</v>
      </c>
      <c r="B14" s="96" t="s">
        <v>326</v>
      </c>
      <c r="C14" s="26">
        <v>40</v>
      </c>
      <c r="D14" s="26">
        <v>18</v>
      </c>
      <c r="E14" s="97">
        <f t="shared" si="0"/>
        <v>1.45</v>
      </c>
      <c r="F14" s="98">
        <f>IFERROR(RANK(E14,E8:E15,0),"—")</f>
        <v>5</v>
      </c>
    </row>
    <row r="15" spans="1:10" ht="21.75" customHeight="1" x14ac:dyDescent="0.25">
      <c r="A15" s="70">
        <v>8</v>
      </c>
      <c r="B15" s="96" t="s">
        <v>327</v>
      </c>
      <c r="C15" s="26">
        <v>60</v>
      </c>
      <c r="D15" s="26">
        <v>20</v>
      </c>
      <c r="E15" s="97">
        <f t="shared" si="0"/>
        <v>1.3333333333333333</v>
      </c>
      <c r="F15" s="98">
        <f>IFERROR(RANK(E15,E8:E15,0),"—")</f>
        <v>8</v>
      </c>
    </row>
    <row r="17" spans="1:10" ht="21.75" customHeight="1" x14ac:dyDescent="0.25">
      <c r="A17" s="99" t="s">
        <v>328</v>
      </c>
      <c r="B17" s="99"/>
      <c r="C17" s="99"/>
      <c r="D17" s="99"/>
      <c r="E17" s="99"/>
      <c r="F17" s="99"/>
      <c r="G17" s="99"/>
      <c r="H17" s="99"/>
      <c r="I17" s="99"/>
    </row>
    <row r="18" spans="1:10" ht="31.5" customHeight="1" x14ac:dyDescent="0.25">
      <c r="A18" s="5" t="s">
        <v>329</v>
      </c>
      <c r="B18" s="5" t="s">
        <v>330</v>
      </c>
      <c r="C18" s="5" t="s">
        <v>331</v>
      </c>
      <c r="D18" s="5" t="s">
        <v>332</v>
      </c>
      <c r="E18" s="5" t="s">
        <v>333</v>
      </c>
      <c r="F18" s="5" t="s">
        <v>316</v>
      </c>
      <c r="G18" s="5" t="s">
        <v>334</v>
      </c>
      <c r="H18" s="5" t="s">
        <v>335</v>
      </c>
      <c r="I18" s="5" t="s">
        <v>336</v>
      </c>
    </row>
    <row r="19" spans="1:10" ht="21.75" customHeight="1" x14ac:dyDescent="0.25">
      <c r="A19" s="100">
        <v>1</v>
      </c>
      <c r="B19" s="54" t="str">
        <f>IFERROR(INDEX(B8:B15,MATCH(1,F8:F15,0)),"—")</f>
        <v>Solar Plant Expansion</v>
      </c>
      <c r="C19" s="101">
        <f>IFERROR(INDEX(E8:E15,MATCH(1,F8:F15,0)),0)</f>
        <v>1.72</v>
      </c>
      <c r="D19" s="55">
        <f>IFERROR(INDEX(C8:C15,MATCH(1,F8:F15,0)),0)</f>
        <v>325</v>
      </c>
      <c r="E19" s="55">
        <f>IFERROR(INDEX(D8:D15,MATCH(1,F8:F15,0)),0)</f>
        <v>234</v>
      </c>
      <c r="F19" s="30">
        <f>D19</f>
        <v>325</v>
      </c>
      <c r="G19" s="30">
        <f>C4-F19</f>
        <v>175</v>
      </c>
      <c r="H19" s="31" t="str">
        <f>IF(D19=0,"—",IF(F19&lt;=C4,"✅ INVEST FULLY",IF(F19-D19&lt;C4,"🟡 INVEST "&amp;TEXT(ROUND((C4-(F19-D19))/D19*100,0),"0")&amp;"% (partial)","❌ SKIP — budget exhausted")))</f>
        <v>✅ INVEST FULLY</v>
      </c>
      <c r="I19" s="30">
        <f>IF(D19=0,0,IF(F19&lt;=C4,D19,IF(F19-D19&lt;C4,C4-(F19-D19),0)))</f>
        <v>325</v>
      </c>
    </row>
    <row r="20" spans="1:10" ht="21.75" customHeight="1" x14ac:dyDescent="0.25">
      <c r="A20" s="100">
        <v>2</v>
      </c>
      <c r="B20" s="54" t="str">
        <f>IFERROR(INDEX(B8:B15,MATCH(2,F8:F15,0)),"—")</f>
        <v>Warehouse Automation</v>
      </c>
      <c r="C20" s="101">
        <f>IFERROR(INDEX(E8:E15,MATCH(2,F8:F15,0)),0)</f>
        <v>1.6</v>
      </c>
      <c r="D20" s="55">
        <f>IFERROR(INDEX(C8:C15,MATCH(2,F8:F15,0)),0)</f>
        <v>120</v>
      </c>
      <c r="E20" s="55">
        <f>IFERROR(INDEX(D8:D15,MATCH(2,F8:F15,0)),0)</f>
        <v>72</v>
      </c>
      <c r="F20" s="30">
        <f t="shared" ref="F20:F26" si="1">F19+D20</f>
        <v>445</v>
      </c>
      <c r="G20" s="30">
        <f>C4-F20</f>
        <v>55</v>
      </c>
      <c r="H20" s="31" t="str">
        <f>IF(D20=0,"—",IF(F20&lt;=C4,"✅ INVEST FULLY",IF(F20-D20&lt;C4,"🟡 INVEST "&amp;TEXT(ROUND((C4-(F20-D20))/D20*100,0),"0")&amp;"% (partial)","❌ SKIP — budget exhausted")))</f>
        <v>✅ INVEST FULLY</v>
      </c>
      <c r="I20" s="30">
        <f>IF(D20=0,0,IF(F20&lt;=C4,D20,IF(F20-D20&lt;C4,C4-(F20-D20),0)))</f>
        <v>120</v>
      </c>
    </row>
    <row r="21" spans="1:10" ht="21.75" customHeight="1" x14ac:dyDescent="0.25">
      <c r="A21" s="100">
        <v>3</v>
      </c>
      <c r="B21" s="54" t="str">
        <f>IFERROR(INDEX(B8:B15,MATCH(3,F8:F15,0)),"—")</f>
        <v>New Product Line</v>
      </c>
      <c r="C21" s="101">
        <f>IFERROR(INDEX(E8:E15,MATCH(3,F8:F15,0)),0)</f>
        <v>1.55</v>
      </c>
      <c r="D21" s="55">
        <f>IFERROR(INDEX(C8:C15,MATCH(3,F8:F15,0)),0)</f>
        <v>200</v>
      </c>
      <c r="E21" s="55">
        <f>IFERROR(INDEX(D8:D15,MATCH(3,F8:F15,0)),0)</f>
        <v>110</v>
      </c>
      <c r="F21" s="30">
        <f t="shared" si="1"/>
        <v>645</v>
      </c>
      <c r="G21" s="30">
        <f>C4-F21</f>
        <v>-145</v>
      </c>
      <c r="H21" s="31" t="str">
        <f>IF(D21=0,"—",IF(F21&lt;=C4,"✅ INVEST FULLY",IF(F21-D21&lt;C4,"🟡 INVEST "&amp;TEXT(ROUND((C4-(F21-D21))/D21*100,0),"0")&amp;"% (partial)","❌ SKIP — budget exhausted")))</f>
        <v>🟡 INVEST 28% (partial)</v>
      </c>
      <c r="I21" s="30">
        <f>IF(D21=0,0,IF(F21&lt;=C4,D21,IF(F21-D21&lt;C4,C4-(F21-D21),0)))</f>
        <v>55</v>
      </c>
    </row>
    <row r="22" spans="1:10" ht="21.75" customHeight="1" x14ac:dyDescent="0.25">
      <c r="A22" s="100">
        <v>4</v>
      </c>
      <c r="B22" s="54" t="str">
        <f>IFERROR(INDEX(B8:B15,MATCH(4,F8:F15,0)),"—")</f>
        <v>Export Processing Unit</v>
      </c>
      <c r="C22" s="101">
        <f>IFERROR(INDEX(E8:E15,MATCH(4,F8:F15,0)),0)</f>
        <v>1.4888888888888889</v>
      </c>
      <c r="D22" s="55">
        <f>IFERROR(INDEX(C8:C15,MATCH(4,F8:F15,0)),0)</f>
        <v>180</v>
      </c>
      <c r="E22" s="55">
        <f>IFERROR(INDEX(D8:D15,MATCH(4,F8:F15,0)),0)</f>
        <v>88</v>
      </c>
      <c r="F22" s="30">
        <f t="shared" si="1"/>
        <v>825</v>
      </c>
      <c r="G22" s="30">
        <f>C4-F22</f>
        <v>-325</v>
      </c>
      <c r="H22" s="31" t="str">
        <f>IF(D22=0,"—",IF(F22&lt;=C4,"✅ INVEST FULLY",IF(F22-D22&lt;C4,"🟡 INVEST "&amp;TEXT(ROUND((C4-(F22-D22))/D22*100,0),"0")&amp;"% (partial)","❌ SKIP — budget exhausted")))</f>
        <v>❌ SKIP — budget exhausted</v>
      </c>
      <c r="I22" s="30">
        <f>IF(D22=0,0,IF(F22&lt;=C4,D22,IF(F22-D22&lt;C4,C4-(F22-D22),0)))</f>
        <v>0</v>
      </c>
    </row>
    <row r="23" spans="1:10" ht="21.75" customHeight="1" x14ac:dyDescent="0.25">
      <c r="A23" s="100">
        <v>5</v>
      </c>
      <c r="B23" s="54" t="str">
        <f>IFERROR(INDEX(B8:B15,MATCH(5,F8:F15,0)),"—")</f>
        <v>ERP Implementation</v>
      </c>
      <c r="C23" s="101">
        <f>IFERROR(INDEX(E8:E15,MATCH(5,F8:F15,0)),0)</f>
        <v>1.45</v>
      </c>
      <c r="D23" s="55">
        <f>IFERROR(INDEX(C8:C15,MATCH(5,F8:F15,0)),0)</f>
        <v>40</v>
      </c>
      <c r="E23" s="55">
        <f>IFERROR(INDEX(D8:D15,MATCH(5,F8:F15,0)),0)</f>
        <v>18</v>
      </c>
      <c r="F23" s="30">
        <f t="shared" si="1"/>
        <v>865</v>
      </c>
      <c r="G23" s="30">
        <f>C4-F23</f>
        <v>-365</v>
      </c>
      <c r="H23" s="31" t="str">
        <f>IF(D23=0,"—",IF(F23&lt;=C4,"✅ INVEST FULLY",IF(F23-D23&lt;C4,"🟡 INVEST "&amp;TEXT(ROUND((C4-(F23-D23))/D23*100,0),"0")&amp;"% (partial)","❌ SKIP — budget exhausted")))</f>
        <v>❌ SKIP — budget exhausted</v>
      </c>
      <c r="I23" s="30">
        <f>IF(D23=0,0,IF(F23&lt;=C4,D23,IF(F23-D23&lt;C4,C4-(F23-D23),0)))</f>
        <v>0</v>
      </c>
    </row>
    <row r="24" spans="1:10" ht="21.75" customHeight="1" x14ac:dyDescent="0.25">
      <c r="A24" s="100">
        <v>6</v>
      </c>
      <c r="B24" s="54" t="str">
        <f>IFERROR(INDEX(B8:B15,MATCH(6,F8:F15,0)),"—")</f>
        <v>Small Hydro Unit</v>
      </c>
      <c r="C24" s="101">
        <f>IFERROR(INDEX(E8:E15,MATCH(6,F8:F15,0)),0)</f>
        <v>1.4220000000000002</v>
      </c>
      <c r="D24" s="55">
        <f>IFERROR(INDEX(C8:C15,MATCH(6,F8:F15,0)),0)</f>
        <v>50</v>
      </c>
      <c r="E24" s="55">
        <f>IFERROR(INDEX(D8:D15,MATCH(6,F8:F15,0)),0)</f>
        <v>21.1</v>
      </c>
      <c r="F24" s="30">
        <f t="shared" si="1"/>
        <v>915</v>
      </c>
      <c r="G24" s="30">
        <f>C4-F24</f>
        <v>-415</v>
      </c>
      <c r="H24" s="31" t="str">
        <f>IF(D24=0,"—",IF(F24&lt;=C4,"✅ INVEST FULLY",IF(F24-D24&lt;C4,"🟡 INVEST "&amp;TEXT(ROUND((C4-(F24-D24))/D24*100,0),"0")&amp;"% (partial)","❌ SKIP — budget exhausted")))</f>
        <v>❌ SKIP — budget exhausted</v>
      </c>
      <c r="I24" s="30">
        <f>IF(D24=0,0,IF(F24&lt;=C4,D24,IF(F24-D24&lt;C4,C4-(F24-D24),0)))</f>
        <v>0</v>
      </c>
    </row>
    <row r="25" spans="1:10" ht="21.75" customHeight="1" x14ac:dyDescent="0.25">
      <c r="A25" s="100">
        <v>7</v>
      </c>
      <c r="B25" s="54" t="str">
        <f>IFERROR(INDEX(B8:B15,MATCH(7,F8:F15,0)),"—")</f>
        <v>R&amp;D Facility</v>
      </c>
      <c r="C25" s="101">
        <f>IFERROR(INDEX(E8:E15,MATCH(7,F8:F15,0)),0)</f>
        <v>1.35</v>
      </c>
      <c r="D25" s="55">
        <f>IFERROR(INDEX(C8:C15,MATCH(7,F8:F15,0)),0)</f>
        <v>80</v>
      </c>
      <c r="E25" s="55">
        <f>IFERROR(INDEX(D8:D15,MATCH(7,F8:F15,0)),0)</f>
        <v>28</v>
      </c>
      <c r="F25" s="30">
        <f t="shared" si="1"/>
        <v>995</v>
      </c>
      <c r="G25" s="30">
        <f>C4-F25</f>
        <v>-495</v>
      </c>
      <c r="H25" s="31" t="str">
        <f>IF(D25=0,"—",IF(F25&lt;=C4,"✅ INVEST FULLY",IF(F25-D25&lt;C4,"🟡 INVEST "&amp;TEXT(ROUND((C4-(F25-D25))/D25*100,0),"0")&amp;"% (partial)","❌ SKIP — budget exhausted")))</f>
        <v>❌ SKIP — budget exhausted</v>
      </c>
      <c r="I25" s="30">
        <f>IF(D25=0,0,IF(F25&lt;=C4,D25,IF(F25-D25&lt;C4,C4-(F25-D25),0)))</f>
        <v>0</v>
      </c>
    </row>
    <row r="26" spans="1:10" ht="21.75" customHeight="1" x14ac:dyDescent="0.25">
      <c r="A26" s="100">
        <v>8</v>
      </c>
      <c r="B26" s="54" t="str">
        <f>IFERROR(INDEX(B8:B15,MATCH(8,F8:F15,0)),"—")</f>
        <v>Fleet Replacement</v>
      </c>
      <c r="C26" s="101">
        <f>IFERROR(INDEX(E8:E15,MATCH(8,F8:F15,0)),0)</f>
        <v>1.3333333333333333</v>
      </c>
      <c r="D26" s="55">
        <f>IFERROR(INDEX(C8:C15,MATCH(8,F8:F15,0)),0)</f>
        <v>60</v>
      </c>
      <c r="E26" s="55">
        <f>IFERROR(INDEX(D8:D15,MATCH(8,F8:F15,0)),0)</f>
        <v>20</v>
      </c>
      <c r="F26" s="30">
        <f t="shared" si="1"/>
        <v>1055</v>
      </c>
      <c r="G26" s="30">
        <f>C4-F26</f>
        <v>-555</v>
      </c>
      <c r="H26" s="31" t="str">
        <f>IF(D26=0,"—",IF(F26&lt;=C4,"✅ INVEST FULLY",IF(F26-D26&lt;C4,"🟡 INVEST "&amp;TEXT(ROUND((C4-(F26-D26))/D26*100,0),"0")&amp;"% (partial)","❌ SKIP — budget exhausted")))</f>
        <v>❌ SKIP — budget exhausted</v>
      </c>
      <c r="I26" s="30">
        <f>IF(D26=0,0,IF(F26&lt;=C4,D26,IF(F26-D26&lt;C4,C4-(F26-D26),0)))</f>
        <v>0</v>
      </c>
    </row>
    <row r="28" spans="1:10" ht="21.75" customHeight="1" x14ac:dyDescent="0.25">
      <c r="A28" s="34" t="s">
        <v>337</v>
      </c>
      <c r="B28" s="34"/>
      <c r="C28" s="34"/>
      <c r="D28" s="34"/>
      <c r="E28" s="34"/>
      <c r="F28" s="34"/>
      <c r="G28" s="34"/>
      <c r="H28" s="34"/>
      <c r="I28" s="34"/>
      <c r="J28" s="34"/>
    </row>
    <row r="29" spans="1:10" ht="21.75" customHeight="1" x14ac:dyDescent="0.25">
      <c r="B29" s="6" t="s">
        <v>338</v>
      </c>
      <c r="C29" s="102">
        <f>C4</f>
        <v>500</v>
      </c>
      <c r="D29" s="103"/>
      <c r="E29" s="103"/>
      <c r="F29" s="103"/>
      <c r="G29" s="103"/>
      <c r="H29" s="103"/>
      <c r="I29" s="103"/>
      <c r="J29" s="103"/>
    </row>
    <row r="30" spans="1:10" ht="21.75" customHeight="1" x14ac:dyDescent="0.25">
      <c r="B30" s="6" t="s">
        <v>339</v>
      </c>
      <c r="C30" s="104">
        <f>SUM(I19:I26)</f>
        <v>500</v>
      </c>
      <c r="D30" s="103"/>
      <c r="E30" s="103"/>
      <c r="F30" s="103"/>
      <c r="G30" s="103"/>
      <c r="H30" s="103"/>
      <c r="I30" s="103"/>
      <c r="J30" s="103"/>
    </row>
    <row r="31" spans="1:10" ht="21.75" customHeight="1" x14ac:dyDescent="0.25">
      <c r="B31" s="6" t="s">
        <v>340</v>
      </c>
      <c r="C31" s="89">
        <f>IFERROR(SUMPRODUCT(IFERROR(I19:I26/D19:D26,0),E19:E26),0)</f>
        <v>0</v>
      </c>
      <c r="D31" s="103"/>
      <c r="E31" s="103"/>
      <c r="F31" s="103"/>
      <c r="G31" s="103"/>
      <c r="H31" s="103"/>
      <c r="I31" s="103"/>
      <c r="J31" s="103"/>
    </row>
    <row r="32" spans="1:10" ht="21.75" customHeight="1" x14ac:dyDescent="0.25">
      <c r="B32" s="6" t="s">
        <v>341</v>
      </c>
      <c r="C32" s="105">
        <f>COUNTIF(H19:H26,"*INVEST FULLY*")</f>
        <v>2</v>
      </c>
      <c r="D32" s="103"/>
      <c r="E32" s="103"/>
      <c r="F32" s="103"/>
      <c r="G32" s="103"/>
      <c r="H32" s="103"/>
      <c r="I32" s="103"/>
      <c r="J32" s="103"/>
    </row>
    <row r="33" spans="1:10" ht="21.75" customHeight="1" x14ac:dyDescent="0.25">
      <c r="B33" s="6" t="s">
        <v>342</v>
      </c>
      <c r="C33" s="106">
        <f>COUNTIF(H19:H26,"*partial*")</f>
        <v>1</v>
      </c>
      <c r="D33" s="103"/>
      <c r="E33" s="103"/>
      <c r="F33" s="103"/>
      <c r="G33" s="103"/>
      <c r="H33" s="103"/>
      <c r="I33" s="103"/>
      <c r="J33" s="103"/>
    </row>
    <row r="34" spans="1:10" ht="21.75" customHeight="1" x14ac:dyDescent="0.25">
      <c r="B34" s="6" t="s">
        <v>343</v>
      </c>
      <c r="C34" s="107">
        <f>C4-SUM(I19:I26)</f>
        <v>0</v>
      </c>
      <c r="D34" s="103"/>
      <c r="E34" s="103"/>
      <c r="F34" s="103"/>
      <c r="G34" s="103"/>
      <c r="H34" s="103"/>
      <c r="I34" s="103"/>
      <c r="J34" s="103"/>
    </row>
    <row r="36" spans="1:10" ht="21.75" customHeight="1" x14ac:dyDescent="0.25">
      <c r="A36" s="4" t="s">
        <v>344</v>
      </c>
      <c r="B36" s="4"/>
      <c r="C36" s="4"/>
      <c r="D36" s="4"/>
      <c r="E36" s="4"/>
      <c r="F36" s="4"/>
      <c r="G36" s="4"/>
      <c r="H36" s="4"/>
      <c r="I36" s="4"/>
      <c r="J36" s="4"/>
    </row>
    <row r="37" spans="1:10" ht="51.75" customHeight="1" x14ac:dyDescent="0.25">
      <c r="B37" s="108" t="s">
        <v>345</v>
      </c>
      <c r="C37" s="109" t="s">
        <v>346</v>
      </c>
      <c r="D37" s="109"/>
      <c r="E37" s="109"/>
      <c r="F37" s="109"/>
      <c r="G37" s="109"/>
      <c r="H37" s="109"/>
      <c r="I37" s="109"/>
      <c r="J37" s="109"/>
    </row>
    <row r="38" spans="1:10" ht="51.75" customHeight="1" x14ac:dyDescent="0.25">
      <c r="B38" s="108" t="s">
        <v>347</v>
      </c>
      <c r="C38" s="109" t="s">
        <v>348</v>
      </c>
      <c r="D38" s="109"/>
      <c r="E38" s="109"/>
      <c r="F38" s="109"/>
      <c r="G38" s="109"/>
      <c r="H38" s="109"/>
      <c r="I38" s="109"/>
      <c r="J38" s="109"/>
    </row>
    <row r="39" spans="1:10" ht="51.75" customHeight="1" x14ac:dyDescent="0.25">
      <c r="B39" s="108" t="s">
        <v>349</v>
      </c>
      <c r="C39" s="109" t="s">
        <v>350</v>
      </c>
      <c r="D39" s="109"/>
      <c r="E39" s="109"/>
      <c r="F39" s="109"/>
      <c r="G39" s="109"/>
      <c r="H39" s="109"/>
      <c r="I39" s="109"/>
      <c r="J39" s="109"/>
    </row>
    <row r="40" spans="1:10" ht="51.75" customHeight="1" x14ac:dyDescent="0.25">
      <c r="B40" s="108" t="s">
        <v>351</v>
      </c>
      <c r="C40" s="109" t="s">
        <v>352</v>
      </c>
      <c r="D40" s="109"/>
      <c r="E40" s="109"/>
      <c r="F40" s="109"/>
      <c r="G40" s="109"/>
      <c r="H40" s="109"/>
      <c r="I40" s="109"/>
      <c r="J40" s="109"/>
    </row>
    <row r="41" spans="1:10" ht="51.75" customHeight="1" x14ac:dyDescent="0.25">
      <c r="B41" s="108" t="s">
        <v>353</v>
      </c>
      <c r="C41" s="109" t="s">
        <v>354</v>
      </c>
      <c r="D41" s="109"/>
      <c r="E41" s="109"/>
      <c r="F41" s="109"/>
      <c r="G41" s="109"/>
      <c r="H41" s="109"/>
      <c r="I41" s="109"/>
      <c r="J41" s="109"/>
    </row>
    <row r="43" spans="1:10" ht="40.5" customHeight="1" x14ac:dyDescent="0.25">
      <c r="A43" s="20" t="s">
        <v>355</v>
      </c>
      <c r="B43" s="20"/>
      <c r="C43" s="20"/>
      <c r="D43" s="20"/>
      <c r="E43" s="20"/>
      <c r="F43" s="20"/>
      <c r="G43" s="20"/>
      <c r="H43" s="20"/>
      <c r="I43" s="20"/>
      <c r="J43" s="20"/>
    </row>
  </sheetData>
  <mergeCells count="20">
    <mergeCell ref="C38:J38"/>
    <mergeCell ref="C39:J39"/>
    <mergeCell ref="C40:J40"/>
    <mergeCell ref="C41:J41"/>
    <mergeCell ref="A43:J43"/>
    <mergeCell ref="D32:J32"/>
    <mergeCell ref="D33:J33"/>
    <mergeCell ref="D34:J34"/>
    <mergeCell ref="A36:J36"/>
    <mergeCell ref="C37:J37"/>
    <mergeCell ref="A17:I17"/>
    <mergeCell ref="A28:J28"/>
    <mergeCell ref="D29:J29"/>
    <mergeCell ref="D30:J30"/>
    <mergeCell ref="D31:J31"/>
    <mergeCell ref="A1:J1"/>
    <mergeCell ref="A2:J2"/>
    <mergeCell ref="A3:J3"/>
    <mergeCell ref="D4:J4"/>
    <mergeCell ref="A6:J6"/>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9</vt:i4>
      </vt:variant>
    </vt:vector>
  </HeadingPairs>
  <TitlesOfParts>
    <vt:vector size="9" baseType="lpstr">
      <vt:lpstr>🏠 COVER</vt:lpstr>
      <vt:lpstr>📖 HOW TO USE</vt:lpstr>
      <vt:lpstr>⚙ SETUP</vt:lpstr>
      <vt:lpstr>💸 INVESTMENT &amp; WC</vt:lpstr>
      <vt:lpstr>📈 REVENUE &amp; COSTS</vt:lpstr>
      <vt:lpstr>🧾 DEP &amp; TAX</vt:lpstr>
      <vt:lpstr>📊 APPRAISAL</vt:lpstr>
      <vt:lpstr>⚖ PROJECT COMPARISON</vt:lpstr>
      <vt:lpstr>📋 CAPITAL RATIONING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ca.m.s roy</dc:creator>
  <dc:description/>
  <cp:lastModifiedBy>madhu roy</cp:lastModifiedBy>
  <cp:revision>0</cp:revision>
  <dcterms:created xsi:type="dcterms:W3CDTF">2026-09-14T11:23:08Z</dcterms:created>
  <dcterms:modified xsi:type="dcterms:W3CDTF">2026-09-15T16:39:52Z</dcterms:modified>
  <dc:language>en-US</dc:language>
</cp:coreProperties>
</file>