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CAMSROY website\Excel Template\vendor due diligence template\"/>
    </mc:Choice>
  </mc:AlternateContent>
  <xr:revisionPtr revIDLastSave="0" documentId="13_ncr:1_{63D15579-1DCC-4367-8291-ED3962A8AF87}" xr6:coauthVersionLast="47" xr6:coauthVersionMax="47" xr10:uidLastSave="{00000000-0000-0000-0000-000000000000}"/>
  <bookViews>
    <workbookView xWindow="-120" yWindow="-120" windowWidth="25440" windowHeight="15270" tabRatio="500" firstSheet="6" activeTab="6" xr2:uid="{00000000-000D-0000-FFFF-FFFF00000000}"/>
  </bookViews>
  <sheets>
    <sheet name="🏠 COVER" sheetId="1" r:id="rId1"/>
    <sheet name="📖 HOW TO USE" sheetId="2" r:id="rId2"/>
    <sheet name="🏢 VENDOR PROFILE" sheetId="3" r:id="rId3"/>
    <sheet name="📈 P&amp;L" sheetId="4" r:id="rId4"/>
    <sheet name="🏛 BALANCE SHEET" sheetId="5" r:id="rId5"/>
    <sheet name="💵 CASH FLOW" sheetId="6" r:id="rId6"/>
    <sheet name="📊 FINANCIAL RATIOS" sheetId="7" r:id="rId7"/>
    <sheet name="🎯 RISK ASSESSMENT &amp; SCORING" sheetId="8" r:id="rId8"/>
    <sheet name="📈 VENDOR DD DASHBOARD" sheetId="9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8" l="1"/>
  <c r="C15" i="8"/>
  <c r="B15" i="8"/>
  <c r="B45" i="9"/>
  <c r="B44" i="9"/>
  <c r="B43" i="9"/>
  <c r="A32" i="9"/>
  <c r="A31" i="9"/>
  <c r="A30" i="9"/>
  <c r="A29" i="9"/>
  <c r="A28" i="9"/>
  <c r="A27" i="9"/>
  <c r="B50" i="8"/>
  <c r="B47" i="8"/>
  <c r="B44" i="8"/>
  <c r="B42" i="8"/>
  <c r="D37" i="8"/>
  <c r="D36" i="8"/>
  <c r="B36" i="8"/>
  <c r="C36" i="8" s="1"/>
  <c r="D35" i="8"/>
  <c r="D34" i="8"/>
  <c r="D33" i="8"/>
  <c r="D32" i="8"/>
  <c r="B27" i="8"/>
  <c r="E31" i="7"/>
  <c r="D31" i="7"/>
  <c r="F30" i="7"/>
  <c r="B66" i="8" s="1"/>
  <c r="E30" i="7"/>
  <c r="H30" i="7" s="1"/>
  <c r="D30" i="7"/>
  <c r="F27" i="7"/>
  <c r="E27" i="7"/>
  <c r="H27" i="7" s="1"/>
  <c r="D27" i="7"/>
  <c r="F26" i="7"/>
  <c r="E26" i="7"/>
  <c r="H26" i="7" s="1"/>
  <c r="D26" i="7"/>
  <c r="F16" i="7"/>
  <c r="E16" i="7"/>
  <c r="H16" i="7" s="1"/>
  <c r="D16" i="7"/>
  <c r="D11" i="7"/>
  <c r="D22" i="6"/>
  <c r="F17" i="7" s="1"/>
  <c r="B21" i="9" s="1"/>
  <c r="C22" i="6"/>
  <c r="E17" i="7" s="1"/>
  <c r="H17" i="7" s="1"/>
  <c r="B22" i="6"/>
  <c r="D17" i="7" s="1"/>
  <c r="D17" i="6"/>
  <c r="C17" i="6"/>
  <c r="B17" i="6"/>
  <c r="D9" i="6"/>
  <c r="D19" i="6" s="1"/>
  <c r="C9" i="6"/>
  <c r="C19" i="6" s="1"/>
  <c r="B9" i="6"/>
  <c r="B19" i="6" s="1"/>
  <c r="D24" i="5"/>
  <c r="C24" i="5"/>
  <c r="B24" i="5"/>
  <c r="D23" i="5"/>
  <c r="C23" i="5"/>
  <c r="B23" i="5"/>
  <c r="D17" i="5"/>
  <c r="C17" i="5"/>
  <c r="B17" i="5"/>
  <c r="D11" i="5"/>
  <c r="C11" i="5"/>
  <c r="B11" i="5"/>
  <c r="D18" i="4"/>
  <c r="F11" i="7" s="1"/>
  <c r="C18" i="4"/>
  <c r="E11" i="7" s="1"/>
  <c r="H11" i="7" s="1"/>
  <c r="D6" i="4"/>
  <c r="D8" i="4" s="1"/>
  <c r="C6" i="4"/>
  <c r="C8" i="4" s="1"/>
  <c r="B6" i="4"/>
  <c r="B8" i="4" s="1"/>
  <c r="B25" i="3"/>
  <c r="E36" i="8" l="1"/>
  <c r="B62" i="8"/>
  <c r="B31" i="9" s="1"/>
  <c r="C66" i="8"/>
  <c r="B23" i="9"/>
  <c r="F31" i="7"/>
  <c r="F7" i="7"/>
  <c r="D25" i="5"/>
  <c r="D19" i="8" s="1"/>
  <c r="E7" i="7"/>
  <c r="C25" i="5"/>
  <c r="C19" i="8" s="1"/>
  <c r="D7" i="7"/>
  <c r="D49" i="9" s="1"/>
  <c r="B25" i="5"/>
  <c r="B19" i="8" s="1"/>
  <c r="F6" i="7"/>
  <c r="F5" i="7"/>
  <c r="D12" i="5"/>
  <c r="D16" i="8" s="1"/>
  <c r="E6" i="7"/>
  <c r="H6" i="7" s="1"/>
  <c r="E5" i="7"/>
  <c r="C12" i="5"/>
  <c r="C16" i="8" s="1"/>
  <c r="D6" i="7"/>
  <c r="D5" i="7"/>
  <c r="B49" i="9" s="1"/>
  <c r="B12" i="5"/>
  <c r="B16" i="8" s="1"/>
  <c r="D9" i="4"/>
  <c r="D11" i="4"/>
  <c r="F23" i="7"/>
  <c r="C9" i="4"/>
  <c r="C11" i="4"/>
  <c r="E23" i="7"/>
  <c r="H23" i="7" s="1"/>
  <c r="B9" i="4"/>
  <c r="B11" i="4"/>
  <c r="D23" i="7"/>
  <c r="H31" i="7" l="1"/>
  <c r="B67" i="8"/>
  <c r="B35" i="8"/>
  <c r="C35" i="8" s="1"/>
  <c r="B20" i="9"/>
  <c r="D51" i="9"/>
  <c r="B46" i="8"/>
  <c r="H7" i="7"/>
  <c r="D50" i="9"/>
  <c r="B18" i="9"/>
  <c r="B51" i="9"/>
  <c r="B33" i="8"/>
  <c r="C33" i="8" s="1"/>
  <c r="B45" i="8"/>
  <c r="D26" i="5"/>
  <c r="B26" i="8"/>
  <c r="D7" i="8"/>
  <c r="D8" i="8"/>
  <c r="D17" i="8"/>
  <c r="D20" i="8" s="1"/>
  <c r="H5" i="7"/>
  <c r="B50" i="9"/>
  <c r="C7" i="8"/>
  <c r="C8" i="8"/>
  <c r="C17" i="8"/>
  <c r="C26" i="5"/>
  <c r="B7" i="8"/>
  <c r="B8" i="8"/>
  <c r="B17" i="8"/>
  <c r="B26" i="5"/>
  <c r="D14" i="4"/>
  <c r="D16" i="4" s="1"/>
  <c r="F21" i="7"/>
  <c r="D18" i="8"/>
  <c r="C14" i="4"/>
  <c r="C16" i="4" s="1"/>
  <c r="C18" i="8"/>
  <c r="E21" i="7"/>
  <c r="H21" i="7" s="1"/>
  <c r="B14" i="4"/>
  <c r="B16" i="4" s="1"/>
  <c r="D21" i="7"/>
  <c r="B18" i="8"/>
  <c r="C67" i="8" l="1"/>
  <c r="B24" i="9"/>
  <c r="E35" i="8"/>
  <c r="B61" i="8"/>
  <c r="B30" i="9" s="1"/>
  <c r="B59" i="8"/>
  <c r="B28" i="9" s="1"/>
  <c r="E33" i="8"/>
  <c r="F8" i="7"/>
  <c r="B22" i="9" s="1"/>
  <c r="D21" i="8"/>
  <c r="C51" i="9"/>
  <c r="D17" i="4"/>
  <c r="F12" i="7" s="1"/>
  <c r="B37" i="8" s="1"/>
  <c r="C37" i="8" s="1"/>
  <c r="E37" i="8" s="1"/>
  <c r="F13" i="7"/>
  <c r="F18" i="7"/>
  <c r="B34" i="8" s="1"/>
  <c r="C34" i="8" s="1"/>
  <c r="F22" i="7"/>
  <c r="B43" i="8"/>
  <c r="D6" i="8"/>
  <c r="D9" i="8" s="1"/>
  <c r="D11" i="8" s="1"/>
  <c r="D10" i="8"/>
  <c r="B48" i="8"/>
  <c r="C45" i="9"/>
  <c r="C17" i="4"/>
  <c r="E12" i="7" s="1"/>
  <c r="E13" i="7"/>
  <c r="E18" i="7"/>
  <c r="E22" i="7"/>
  <c r="H22" i="7" s="1"/>
  <c r="C6" i="8"/>
  <c r="C9" i="8" s="1"/>
  <c r="C10" i="8"/>
  <c r="C44" i="9"/>
  <c r="B17" i="4"/>
  <c r="D12" i="7" s="1"/>
  <c r="D13" i="7"/>
  <c r="D18" i="7"/>
  <c r="D22" i="7"/>
  <c r="B6" i="8"/>
  <c r="B9" i="8" s="1"/>
  <c r="B10" i="8"/>
  <c r="C43" i="9"/>
  <c r="C20" i="8"/>
  <c r="B25" i="8"/>
  <c r="B28" i="8" s="1"/>
  <c r="B20" i="8"/>
  <c r="E34" i="8" l="1"/>
  <c r="B60" i="8"/>
  <c r="B29" i="9" s="1"/>
  <c r="B32" i="8"/>
  <c r="C32" i="8" s="1"/>
  <c r="B49" i="8"/>
  <c r="B19" i="9"/>
  <c r="B52" i="8"/>
  <c r="B51" i="8"/>
  <c r="B15" i="9" s="1"/>
  <c r="C21" i="8"/>
  <c r="E8" i="7"/>
  <c r="H8" i="7" s="1"/>
  <c r="C50" i="9"/>
  <c r="H15" i="9"/>
  <c r="C49" i="9"/>
  <c r="B21" i="8"/>
  <c r="D8" i="7"/>
  <c r="H12" i="7"/>
  <c r="H13" i="7"/>
  <c r="H18" i="7"/>
  <c r="C11" i="8"/>
  <c r="B11" i="8"/>
  <c r="E32" i="8" l="1"/>
  <c r="E38" i="8" s="1"/>
  <c r="B58" i="8"/>
  <c r="B27" i="9" s="1"/>
  <c r="E15" i="9"/>
  <c r="B63" i="8"/>
  <c r="B32" i="9" s="1"/>
  <c r="B55" i="8" l="1"/>
  <c r="A10" i="9" s="1"/>
  <c r="E6" i="9"/>
  <c r="A6" i="9"/>
  <c r="B39" i="9"/>
</calcChain>
</file>

<file path=xl/sharedStrings.xml><?xml version="1.0" encoding="utf-8"?>
<sst xmlns="http://schemas.openxmlformats.org/spreadsheetml/2006/main" count="494" uniqueCount="422">
  <si>
    <t>📊  camsroy.com</t>
  </si>
  <si>
    <t>Smart Finance Templates  |  Built for Procurement &amp; Finance Teams</t>
  </si>
  <si>
    <t>VENDOR FINANCIAL</t>
  </si>
  <si>
    <t>DUE DILIGENCE &amp; SELECTION TEMPLATE</t>
  </si>
  <si>
    <t>3-Year Financials → Risk Ratios → Weighted Score → Approve / Conditional / Reject</t>
  </si>
  <si>
    <t>Vendor Name</t>
  </si>
  <si>
    <t>[Enter Vendor Name]</t>
  </si>
  <si>
    <t>Years Covered</t>
  </si>
  <si>
    <t>3 years (most recent audited)</t>
  </si>
  <si>
    <t>Reporting Currency</t>
  </si>
  <si>
    <t>INR (₹)</t>
  </si>
  <si>
    <t>Prepared By</t>
  </si>
  <si>
    <t>[Your Name / Procurement Team]</t>
  </si>
  <si>
    <t>Report Date</t>
  </si>
  <si>
    <t>[As-on Date]</t>
  </si>
  <si>
    <t>📋  WORKBOOK NAVIGATION</t>
  </si>
  <si>
    <t>📖</t>
  </si>
  <si>
    <t xml:space="preserve">  HOW TO USE  —  Step-by-step guide &amp; methodology notes</t>
  </si>
  <si>
    <t>🏢</t>
  </si>
  <si>
    <t xml:space="preserve">  VENDOR PROFILE  —  Vendor identity, order context, scoring weights, benchmarks</t>
  </si>
  <si>
    <t>📈</t>
  </si>
  <si>
    <t xml:space="preserve">  P&amp;L  —  3 years of vendor's actual Profit &amp; Loss (tax = actual reported figure)</t>
  </si>
  <si>
    <t>🏛</t>
  </si>
  <si>
    <t xml:space="preserve">  BALANCE SHEET  —  3 years, with a live balance-check validation row</t>
  </si>
  <si>
    <t>💵</t>
  </si>
  <si>
    <t xml:space="preserve">  CASH FLOW  —  3 years — Free Cash Flow auto-calculated (CFO − Capex)</t>
  </si>
  <si>
    <t>📊</t>
  </si>
  <si>
    <t xml:space="preserve">  FINANCIAL RATIOS  —  Solvency, profitability, cash quality, debt service, concentration</t>
  </si>
  <si>
    <t>🎯</t>
  </si>
  <si>
    <t xml:space="preserve">  RISK ASSESSMENT &amp; SCORING  —  DuPont, Altman Z-Score, weighted scorecard → Approve/Conditional/Reject</t>
  </si>
  <si>
    <t xml:space="preserve">  VENDOR DD DASHBOARD  —  KPIs, decision banner, and 3-year trend charts</t>
  </si>
  <si>
    <t>🎨  COLOUR LEGEND</t>
  </si>
  <si>
    <t>Blue cells = Input (paste vendor's actual figures here)</t>
  </si>
  <si>
    <t>Green = Healthy / Approve signal</t>
  </si>
  <si>
    <t>Yellow = Caution / Approve with conditions</t>
  </si>
  <si>
    <t>Red = Reject / high risk signal</t>
  </si>
  <si>
    <t>💡  WHAT MAKES THIS TEMPLATE DIFFERENT</t>
  </si>
  <si>
    <t>✓</t>
  </si>
  <si>
    <t>Purpose-built for vendor SELECTION, not generic ratio analysis — every ratio chosen for 'will they deliver reliably?'</t>
  </si>
  <si>
    <t xml:space="preserve">  Altman Z-Score shown as a supplementary financial distress indicator — a useful independent cross-check, not the main decision engine</t>
  </si>
  <si>
    <t>Concentration Risk check — your order value vs vendor's total revenue, a dependency risk generic tools miss entirely</t>
  </si>
  <si>
    <t>Cash Flow Quality check — does the vendor's profit actually convert to cash, or just look good on paper?</t>
  </si>
  <si>
    <t>Free Cash Flow auto-calculated (CFO − Capex) — never a manual input, always ties to the Cash Flow Statement</t>
  </si>
  <si>
    <t>Ends in an actual DECISION — Approve / Conditional / Reject — not just a wall of ratios you have to interpret yourself</t>
  </si>
  <si>
    <t>© camsroy.com  |  Free for personal &amp; commercial use  |  www.camsroy.com</t>
  </si>
  <si>
    <t>📊  camsroy.com  |  HOW TO USE  —  Vendor Financial Due Diligence &amp; Selection Template</t>
  </si>
  <si>
    <t>STEP-BY-STEP GUIDE</t>
  </si>
  <si>
    <t xml:space="preserve">  Step 1 — VENDOR PROFILE Sheet</t>
  </si>
  <si>
    <t xml:space="preserve">    Enter the vendor's identity details (name, GSTIN/PAN, years in business, etc.), your Proposed Annual Order Value — this drives the Concentration Risk check — and review the 6 scoring weights (must total 100%) and decision thresholds.</t>
  </si>
  <si>
    <t xml:space="preserve">  Step 2 — P&amp;L, BALANCE SHEET, CASH FLOW (3 years each)</t>
  </si>
  <si>
    <t xml:space="preserve">    Paste or type the vendor's actual 3-year financials into the blue cells — from their audited statements, annual report, or what they submit as part of your RFP/RFQ process. Tax is entered as the vendor's ACTUAL reported figure, not a calculated estimate. Each sheet has catch-all lines (Other Income, Other Non-Current Assets/Liabilities, Interest Paid, Fresh Debt/Equity) so most real-world line items have a home without needing to insert a row.</t>
  </si>
  <si>
    <t xml:space="preserve">  Step 3 — Check the Balance Sheet's 'Balance Check' Row</t>
  </si>
  <si>
    <t xml:space="preserve">    Must show 0 for every year. If it doesn't, your Assets and Liabilities+Equity entries don't tie out — fix this before trusting anything downstream.</t>
  </si>
  <si>
    <t xml:space="preserve">  Step 4 — FINANCIAL RATIOS (fully derived, read-only)</t>
  </si>
  <si>
    <t xml:space="preserve">    Ratios grouped by what they tell you about the vendor: Going-Concern &amp; Solvency, Profitability &amp; Growth, Cash Flow Quality, Debt Serviceability, Working Capital Efficiency, and Concentration Risk. Free Cash Flow is always auto-calculated (CFO − Capex) from the Cash Flow sheet — never a manual entry.</t>
  </si>
  <si>
    <t xml:space="preserve">  Step 5 — RISK ASSESSMENT &amp; SCORING</t>
  </si>
  <si>
    <t xml:space="preserve">    This sheet checks Financial Data Quality first (and will flag 'Insufficient Data' if the Balance Sheet doesn't tie out or key figures are missing), then scans for 9 automatic Red Flags (negative cash flow, negative net worth, weak DSCR, declining revenue, etc. — any CRITICAL flag overrides the score to Reject). The Vendor Financial Risk Score (6 weighted drivers) is the main decision engine. DuPont Analysis and Altman Z''-Score are supplementary cross-checks only, shown for context, not scored into the decision.</t>
  </si>
  <si>
    <t xml:space="preserve">  Step 6 — VENDOR DD DASHBOARD</t>
  </si>
  <si>
    <t xml:space="preserve">    The decision banner sits at the top — this is the page to show in a vendor approval meeting. KPI snapshot and 3-year trend charts follow below.</t>
  </si>
  <si>
    <t>WHAT MAKES A GOOD VENDOR (WHAT THIS TEMPLATE IS ACTUALLY TESTING FOR)</t>
  </si>
  <si>
    <t xml:space="preserve">    • Going-concern — will they survive the length of your contract? (Vendor Financial Risk Score + Red Flags; Altman Z-Score as a cross-check)</t>
  </si>
  <si>
    <t xml:space="preserve">    • Liquidity — can they pay their own short-term bills? (Current Ratio)</t>
  </si>
  <si>
    <t xml:space="preserve">    • Sustainable growth — is their business improving or declining? (Revenue growth, Net Margin trend)</t>
  </si>
  <si>
    <t xml:space="preserve">    • Debt serviceability — can they fund the capacity to fulfil YOUR order without financial strain? (DSCR)</t>
  </si>
  <si>
    <t xml:space="preserve">    • Earnings quality — does their reported profit actually show up as cash? (CFO ÷ Net Profit)</t>
  </si>
  <si>
    <t xml:space="preserve">    • Concentration risk — how dependent would they become on your business, and you on them?</t>
  </si>
  <si>
    <t>THE MOST IMPORTANT ROW IN THE WORKBOOK</t>
  </si>
  <si>
    <t xml:space="preserve">    Balance Sheet's 'Balance Check' row must show 0 in every year. If you change an input and this stops showing 0, something broke the link between the statements — check it before trusting any ratio, score, or decision.</t>
  </si>
  <si>
    <t>WHY THIS TEMPLATE IS DIFFERENT</t>
  </si>
  <si>
    <t xml:space="preserve">    • Purpose-built for vendor SELECTION — every ratio chosen for 'will they deliver reliably?', not generic financial health.</t>
  </si>
  <si>
    <t xml:space="preserve">    • Ends in an actual decision (Approve / Conditional / Reject / Insufficient Data) — not just a wall of ratios you have to interpret yourself.</t>
  </si>
  <si>
    <t xml:space="preserve">    • Automatic Red Flags with critical-flag override — a single severe problem (e.g., negative net worth) can't be masked by decent scores elsewhere.</t>
  </si>
  <si>
    <t xml:space="preserve">    • Buyer Exposure checks (vs both vendor Revenue AND vendor Net Worth) — a dependency risk generic ratio tools miss entirely.</t>
  </si>
  <si>
    <t>CUSTOMISATION TIPS</t>
  </si>
  <si>
    <t xml:space="preserve">    • Adjust scoring weights in Vendor Profile if certain risks matter more for your specific procurement category (e.g., weight Debt Serviceability higher for capital-intensive vendors).</t>
  </si>
  <si>
    <t xml:space="preserve">    • Multiple vendors: duplicate this workbook per vendor — each is a separate, self-contained due diligence file.</t>
  </si>
  <si>
    <t xml:space="preserve">    • If the vendor won't share 3 years of financials, use whatever is available (even 1 year) — the ratios and Z-Score still compute, though the trend-based Remarks will show 'Base year' until more history is added.</t>
  </si>
  <si>
    <t>MORE FREE TEMPLATES — camsroy.com</t>
  </si>
  <si>
    <t xml:space="preserve">    Visit www.camsroy.com/resources/templates for Budget vs Actual, AR &amp; AP Tracker, Payroll &amp; Salary Register, Inventory &amp; Stock Management, Break-Even Analysis, the Linked 3-Statement Model, and the 5-Year Financial Ratio Analysis Template.</t>
  </si>
  <si>
    <t>© 2025 camsroy.com  |  Free for personal and commercial use  |  Not a substitute for professional credit/legal due diligence  |  www.camsroy.com</t>
  </si>
  <si>
    <t>🏢  camsroy.com  |  VENDOR PROFILE  —  Identity, Order Context &amp; Scoring Setup</t>
  </si>
  <si>
    <t>Configure once. Ratios, scoring, and the Dashboard's decision all reference these assumptions automatically.</t>
  </si>
  <si>
    <t>🪪  A. VENDOR IDENTITY</t>
  </si>
  <si>
    <t>Field</t>
  </si>
  <si>
    <t>Value</t>
  </si>
  <si>
    <t>Notes</t>
  </si>
  <si>
    <t>Vendor Legal Name</t>
  </si>
  <si>
    <t>[Vendor Pvt Ltd]</t>
  </si>
  <si>
    <t>As per incorporation/registration documents</t>
  </si>
  <si>
    <t>GSTIN / PAN</t>
  </si>
  <si>
    <t>[Enter GSTIN or PAN]</t>
  </si>
  <si>
    <t>For identity verification</t>
  </si>
  <si>
    <t>Registered Address</t>
  </si>
  <si>
    <t>[Enter Address]</t>
  </si>
  <si>
    <t>Contact Person &amp; Details</t>
  </si>
  <si>
    <t>[Name, Phone, Email]</t>
  </si>
  <si>
    <t>Years in Business</t>
  </si>
  <si>
    <t>Longer track record generally lowers execution risk</t>
  </si>
  <si>
    <t>Industry / Product-Service Category</t>
  </si>
  <si>
    <t>[e.g., Industrial Components]</t>
  </si>
  <si>
    <t>Relevant Certifications</t>
  </si>
  <si>
    <t>[ISO 9001, etc. — leave blank if N/A]</t>
  </si>
  <si>
    <t>Optional — quality/compliance signal, not scored financially</t>
  </si>
  <si>
    <t>📦  B. ORDER CONTEXT</t>
  </si>
  <si>
    <t>Parameter</t>
  </si>
  <si>
    <t>Proposed Annual Order Value (₹)</t>
  </si>
  <si>
    <t>What you plan to spend with this vendor per year — drives Concentration Risk</t>
  </si>
  <si>
    <t>⚖  C. VENDOR FINANCIAL RISK SCORE — WEIGHTS (6 decision drivers, must sum to 100%)</t>
  </si>
  <si>
    <t>Decision Driver</t>
  </si>
  <si>
    <t>Weight</t>
  </si>
  <si>
    <t>Debt Serviceability (DSCR)</t>
  </si>
  <si>
    <t>Most direct test of whether they can meet obligations without defaulting</t>
  </si>
  <si>
    <t>Liquidity (Current Ratio)</t>
  </si>
  <si>
    <t>Immediate survival test — can they pay short-term bills right now</t>
  </si>
  <si>
    <t>Earnings Quality (CFO ÷ Net Profit)</t>
  </si>
  <si>
    <t>Catches low-quality/aggressive accounting — does profit show up as real cash</t>
  </si>
  <si>
    <t>Leverage (Debt : Equity)</t>
  </si>
  <si>
    <t>Structural risk — partially correlated with DSCR, still independently informative</t>
  </si>
  <si>
    <t>Working Capital Risk (Cash Conversion Cycle trend)</t>
  </si>
  <si>
    <t>Operational capacity to scale and fund YOUR order without strain</t>
  </si>
  <si>
    <t>Profitability Trend (Net Margin)</t>
  </si>
  <si>
    <t>Useful directional signal, least urgent — thin margins alone rarely cause near-term failure</t>
  </si>
  <si>
    <t>⚠ Weight Check (should total 100%)</t>
  </si>
  <si>
    <t>Adjust the weights above if this isn't 100%</t>
  </si>
  <si>
    <t>🎯  D. DECISION THRESHOLDS (composite score out of 3.0)</t>
  </si>
  <si>
    <t>Decision</t>
  </si>
  <si>
    <t>Score Range</t>
  </si>
  <si>
    <t>Meaning</t>
  </si>
  <si>
    <t>✅ Approve</t>
  </si>
  <si>
    <t>≥ 2.4</t>
  </si>
  <si>
    <t>Financially sound — proceed with standard terms</t>
  </si>
  <si>
    <t>🟡 Approve with Conditions</t>
  </si>
  <si>
    <t>1.7 – 2.4</t>
  </si>
  <si>
    <t>Proceed with safeguards (advance payment, bank guarantee, closer monitoring)</t>
  </si>
  <si>
    <t>🔴 Reject / High Risk</t>
  </si>
  <si>
    <t>&lt; 1.7</t>
  </si>
  <si>
    <t>Financial risk too high — do not onboard without remediation</t>
  </si>
  <si>
    <t>📐  E. INDUSTRY BENCHMARK REFERENCE</t>
  </si>
  <si>
    <t>Ratio</t>
  </si>
  <si>
    <t>Typical Healthy Range</t>
  </si>
  <si>
    <t>Current Ratio</t>
  </si>
  <si>
    <t>1.5x – 2.0x</t>
  </si>
  <si>
    <t>Below 1.0x signals liquidity stress</t>
  </si>
  <si>
    <t>Debt : Equity</t>
  </si>
  <si>
    <t>≤ 1.5x – 2.0x</t>
  </si>
  <si>
    <t>Indian lender comfort zone; sector-dependent</t>
  </si>
  <si>
    <t>Interest Coverage Ratio</t>
  </si>
  <si>
    <t>≥ 3.0x</t>
  </si>
  <si>
    <t>Below 1.5x is a red flag</t>
  </si>
  <si>
    <t>DSCR</t>
  </si>
  <si>
    <t>≥ 1.25x – 1.50x</t>
  </si>
  <si>
    <t>Below 1.25x signals debt-service strain</t>
  </si>
  <si>
    <t>Net Debt / EBITDA</t>
  </si>
  <si>
    <t>≤ 3.0x</t>
  </si>
  <si>
    <t>Key leverage metric</t>
  </si>
  <si>
    <t>Net Profit Margin</t>
  </si>
  <si>
    <t>5% – 10%</t>
  </si>
  <si>
    <t>Typical for Indian SME trading/services</t>
  </si>
  <si>
    <t>CFO / Net Profit</t>
  </si>
  <si>
    <t>≥ 0.8x</t>
  </si>
  <si>
    <t>Below this, profits aren't converting to cash</t>
  </si>
  <si>
    <t>Debtor Days (DSO)</t>
  </si>
  <si>
    <t>≤ 45 – 60 days</t>
  </si>
  <si>
    <t>Longer suggests their own collection issues</t>
  </si>
  <si>
    <t>Concentration (Order/Their Revenue)</t>
  </si>
  <si>
    <t>≤ 25% – 30%</t>
  </si>
  <si>
    <t>Above this, you're a dependency risk to them (and vice versa)</t>
  </si>
  <si>
    <t>🚨  F. ALTMAN Z''-SCORE INTERPRETATION ZONES (Private/Non-Manufacturing)</t>
  </si>
  <si>
    <t>Zone</t>
  </si>
  <si>
    <t>Z''-Score Range</t>
  </si>
  <si>
    <t>Safe Zone</t>
  </si>
  <si>
    <t>&gt; 2.60</t>
  </si>
  <si>
    <t>Low probability of financial distress</t>
  </si>
  <si>
    <t>Grey Zone</t>
  </si>
  <si>
    <t>1.10 – 2.60</t>
  </si>
  <si>
    <t>Caution — monitor closely</t>
  </si>
  <si>
    <t>Distress Zone</t>
  </si>
  <si>
    <t>&lt; 1.10</t>
  </si>
  <si>
    <t>Elevated financial distress risk</t>
  </si>
  <si>
    <t>ℹ  All values editable. Scoring weights drive the composite score on the Risk Assessment &amp; Scoring sheet.  |  © camsroy.com</t>
  </si>
  <si>
    <t>📈  camsroy.com  |  VENDOR P&amp;L  —  3-Year Actuals</t>
  </si>
  <si>
    <t>Paste the vendor's actual 3-year P&amp;L here. Blue cells = Input. Subtotals calculate automatically.</t>
  </si>
  <si>
    <t>Line Item (₹)</t>
  </si>
  <si>
    <t>Year -2</t>
  </si>
  <si>
    <t>Year -1</t>
  </si>
  <si>
    <t>Latest Year</t>
  </si>
  <si>
    <t>Revenue / Net Sales</t>
  </si>
  <si>
    <t>Cost of Goods Sold (COGS)</t>
  </si>
  <si>
    <t>Gross Profit</t>
  </si>
  <si>
    <t>Operating Expenses (SG&amp;A)</t>
  </si>
  <si>
    <t>EBITDA</t>
  </si>
  <si>
    <t>EBITDA Margin %</t>
  </si>
  <si>
    <t>Depreciation &amp; Amortisation</t>
  </si>
  <si>
    <t>EBIT</t>
  </si>
  <si>
    <t>Other Income (Non-Operating)</t>
  </si>
  <si>
    <t>Interest Expense</t>
  </si>
  <si>
    <t>Profit Before Tax (PBT)</t>
  </si>
  <si>
    <t>Tax (Actual, as per Vendor's Filed Return)</t>
  </si>
  <si>
    <t>Profit After Tax (PAT / Net Profit)</t>
  </si>
  <si>
    <t>Net Profit Margin %</t>
  </si>
  <si>
    <t>Revenue Growth % (YoY)</t>
  </si>
  <si>
    <t>N/A — base year</t>
  </si>
  <si>
    <t>ℹ  Blue cells = Input, including Tax — enter the vendor's ACTUAL reported tax figure (from their filed return/audited financials), not a calculated estimate. Gross Profit, EBITDA, EBIT, PBT, and PAT calculate automatically.  |  © camsroy.com</t>
  </si>
  <si>
    <t>🏛  camsroy.com  |  VENDOR BALANCE SHEET  —  3-Year Actuals</t>
  </si>
  <si>
    <t>Paste the vendor's actual 3-year Balance Sheet here. Blue cells = Input. The Balance Check row validates your entries.</t>
  </si>
  <si>
    <t>ASSETS</t>
  </si>
  <si>
    <t>Net Fixed Assets</t>
  </si>
  <si>
    <t>Other Non-Current Assets (Investments, CWIP, etc.)</t>
  </si>
  <si>
    <t>Cash &amp; Bank Balance</t>
  </si>
  <si>
    <t>Trade Receivables</t>
  </si>
  <si>
    <t>Inventory</t>
  </si>
  <si>
    <t>Other Current Assets</t>
  </si>
  <si>
    <t>TOTAL CURRENT ASSETS</t>
  </si>
  <si>
    <t>TOTAL ASSETS</t>
  </si>
  <si>
    <t>LIABILITIES &amp; EQUITY</t>
  </si>
  <si>
    <t>Share Capital</t>
  </si>
  <si>
    <t>Reserves &amp; Surplus</t>
  </si>
  <si>
    <t>TOTAL EQUITY</t>
  </si>
  <si>
    <t>Long-Term Debt</t>
  </si>
  <si>
    <t>Other Non-Current Liabilities (Provisions, Deferred Tax, etc.)</t>
  </si>
  <si>
    <t>Trade Payables</t>
  </si>
  <si>
    <t>Short-Term Borrowings</t>
  </si>
  <si>
    <t>Other Current Liabilities</t>
  </si>
  <si>
    <t>TOTAL CURRENT LIABILITIES</t>
  </si>
  <si>
    <t>TOTAL DEBT (LT + ST, interest-bearing only)</t>
  </si>
  <si>
    <t>TOTAL LIABILITIES &amp; EQUITY</t>
  </si>
  <si>
    <t>⚠ Balance Check (Assets − Liab&amp;Eq, should be 0)</t>
  </si>
  <si>
    <t>ℹ  Blue cells = Input. If the Balance Check row doesn't show 0, your Assets and Liabilities+Equity entries don't tie out — recheck your figures before trusting the ratios below.  |  © camsroy.com</t>
  </si>
  <si>
    <t>💵  camsroy.com  |  VENDOR CASH FLOW  —  3-Year Actuals</t>
  </si>
  <si>
    <t>Paste the vendor's actual 3-year Cash Flow here. Blue cells = Input. Free Cash Flow is AUTO-CALCULATED below — never entered manually.</t>
  </si>
  <si>
    <t>CASH FLOW FROM OPERATING ACTIVITIES</t>
  </si>
  <si>
    <t>Net Cash from Operations (CFO)</t>
  </si>
  <si>
    <t>CASH FLOW FROM INVESTING ACTIVITIES</t>
  </si>
  <si>
    <t>Capital Expenditure</t>
  </si>
  <si>
    <t>Net Cash from Investing (CFI)</t>
  </si>
  <si>
    <t>CASH FLOW FROM FINANCING ACTIVITIES</t>
  </si>
  <si>
    <t>Fresh Debt Drawn</t>
  </si>
  <si>
    <t>Fresh Equity Raised</t>
  </si>
  <si>
    <t>Loan Repayment (Net)</t>
  </si>
  <si>
    <t>Interest Paid</t>
  </si>
  <si>
    <t>Dividend Paid</t>
  </si>
  <si>
    <t>Net Cash from Financing (CFF)</t>
  </si>
  <si>
    <t>NET CHANGE IN CASH</t>
  </si>
  <si>
    <t>💰  FREE CASH FLOW — AUTO-CALCULATED (never a manual input)</t>
  </si>
  <si>
    <t>Free Cash Flow = CFO − Capital Expenditure</t>
  </si>
  <si>
    <t>ℹ  Blue cells = Input. Free Cash Flow is ALWAYS derived here — CFO (Operating section) minus Capex (Investing section) — and referenced by the Ratios and Dashboard sheets. Never enter it manually.  |  © camsroy.com</t>
  </si>
  <si>
    <t>📊  camsroy.com  |  FINANCIAL RATIOS  —  Formula, Meaning, 3-Year Trend &amp; Benchmark</t>
  </si>
  <si>
    <t>Fully derived from P&amp;L, Balance Sheet &amp; Cash Flow Input. Remarks auto-generate based on trend vs prior year.</t>
  </si>
  <si>
    <t>Formula</t>
  </si>
  <si>
    <t>What It Denotes</t>
  </si>
  <si>
    <t>Yr-2</t>
  </si>
  <si>
    <t>Yr-1</t>
  </si>
  <si>
    <t>Latest</t>
  </si>
  <si>
    <t>Industry
Benchmark</t>
  </si>
  <si>
    <t>Remarks</t>
  </si>
  <si>
    <t>🚨  A. GOING-CONCERN &amp; SOLVENCY (will they survive the contract term?)</t>
  </si>
  <si>
    <t>Current Assets ÷ Current Liabilities</t>
  </si>
  <si>
    <t>Ability to pay short-term obligations. A vendor unable to cover its bills is a supply-disruption risk.</t>
  </si>
  <si>
    <t>Quick Ratio</t>
  </si>
  <si>
    <t>(Current Assets − Inventory) ÷ Current Liabilities</t>
  </si>
  <si>
    <t>Tougher liquidity test excluding inventory, which isn't always quickly convertible to cash.</t>
  </si>
  <si>
    <t>≥ 1.0x</t>
  </si>
  <si>
    <t>Debt : Equity Ratio</t>
  </si>
  <si>
    <t>Total Debt ÷ Total Equity</t>
  </si>
  <si>
    <t>How reliant the vendor is on borrowed money. High leverage raises risk they won't survive the full contract term.</t>
  </si>
  <si>
    <t>Altman Z''-Score</t>
  </si>
  <si>
    <t>6.56(X1)+3.26(X2)+6.72(X3)+1.05(X4) — see DuPont &amp; Z-Score sheet</t>
  </si>
  <si>
    <t>Bankruptcy/financial distress early-warning score — a supplementary indicator shown for context, not a scored input to the main decision.</t>
  </si>
  <si>
    <t>&gt; 2.60 = Safe</t>
  </si>
  <si>
    <t>📈  B. PROFITABILITY &amp; GROWTH TREND (viable, sustainable business — not just scraping by)</t>
  </si>
  <si>
    <t>(This Year Revenue − Prior Year) ÷ Prior Year</t>
  </si>
  <si>
    <t>Is the vendor's business growing or shrinking? Declining revenue is an early warning before a vendor becomes unreliable.</t>
  </si>
  <si>
    <t>Positive &amp; steady</t>
  </si>
  <si>
    <t>Net Profit (PAT) ÷ Revenue</t>
  </si>
  <si>
    <t>What share of every rupee of sales ends up as bottom-line profit.</t>
  </si>
  <si>
    <t>Return on Equity (ROE)</t>
  </si>
  <si>
    <t>Net Profit ÷ Total Equity</t>
  </si>
  <si>
    <t>Return generated for the vendor's shareholders — a well-run, efficiently capitalised business.</t>
  </si>
  <si>
    <t>15% – 20%</t>
  </si>
  <si>
    <t>💰  C. CASH FLOW QUALITY (does profit actually turn into cash?)</t>
  </si>
  <si>
    <t>Operating Cash Flow (CFO)</t>
  </si>
  <si>
    <t>As reported in Cash Flow Statement</t>
  </si>
  <si>
    <t>Actual cash generated from operations — the real test of whether the vendor brings in enough money to cover its bills.</t>
  </si>
  <si>
    <t>Positive &amp; growing</t>
  </si>
  <si>
    <t>Free Cash Flow (Auto-Calculated)</t>
  </si>
  <si>
    <t>CFO − Capital Expenditure (from Cash Flow Input — never manual)</t>
  </si>
  <si>
    <t>Cash left over after funding operations and capex. A vendor burning cash despite reported profit is a red flag.</t>
  </si>
  <si>
    <t>CFO ÷ Net Profit (Earnings Quality)</t>
  </si>
  <si>
    <t>Operating Cash Flow ÷ Net Profit</t>
  </si>
  <si>
    <t>Does reported profit actually convert to cash? Below ~0.8x suggests profit is inflated by non-cash items or working capital strain.</t>
  </si>
  <si>
    <t>🏦  D. DEBT SERVICEABILITY (can they fund YOUR order without financial strain?)</t>
  </si>
  <si>
    <t>Interest Coverage Ratio (ICR)</t>
  </si>
  <si>
    <t>EBIT ÷ Interest Expense</t>
  </si>
  <si>
    <t>How many times over the vendor can pay its interest bill from operating profit.</t>
  </si>
  <si>
    <t>(PAT+Dep+Interest) ÷ (Cash Interest Paid+Principal Repayment)</t>
  </si>
  <si>
    <t>Can the vendor's cash generation cover its full debt obligations? This template uses a simplified DSCR methodology (based on reported P&amp;L and Cash Flow figures, not a full lender-grade debt schedule).</t>
  </si>
  <si>
    <t>(Total Debt − Cash) ÷ EBITDA</t>
  </si>
  <si>
    <t>Years of current EBITDA needed to pay off net debt. Key leverage metric.</t>
  </si>
  <si>
    <t>🔄  E. WORKING CAPITAL EFFICIENCY (can they scale to fulfil your order?)</t>
  </si>
  <si>
    <t>365 ÷ (Revenue ÷ Trade Receivables)</t>
  </si>
  <si>
    <t>Average days the vendor's OWN customers take to pay. Longer suggests their own collection issues — a squeeze that could delay YOUR deliveries.</t>
  </si>
  <si>
    <t>Cash Conversion Cycle</t>
  </si>
  <si>
    <t>Inventory Days + Debtor Days − Creditor Days</t>
  </si>
  <si>
    <t>Total days cash is tied up in the vendor's operating cycle. A longer cycle means less buffer to absorb a large new order.</t>
  </si>
  <si>
    <t>Lower is better</t>
  </si>
  <si>
    <t>🎯  F. BUYER EXPOSURE (your dependency on them, and theirs on you)</t>
  </si>
  <si>
    <t>Buyer Exposure ÷ Vendor Revenue</t>
  </si>
  <si>
    <t>Proposed Annual Order (Setup) ÷ Vendor Revenue (latest year)</t>
  </si>
  <si>
    <t>How dependent the vendor would become on your business. Above ~25-30%, you become a concentration risk to THEM (and vice versa if they're your only source).</t>
  </si>
  <si>
    <t>Buyer Exposure ÷ Vendor Net Worth</t>
  </si>
  <si>
    <t>Proposed Annual Order (Vendor Profile) ÷ Vendor's Total Equity (latest year)</t>
  </si>
  <si>
    <t>How large your order is relative to the vendor's entire net worth. A vendor with thin net worth could be destabilised by even a moderate dispute or bad debt from you.</t>
  </si>
  <si>
    <t>≤ 15% – 20%</t>
  </si>
  <si>
    <t>ℹ  Remarks compare only the latest year vs the prior year. Concentration Risk uses the LATEST year's revenue only (most relevant for a forward-looking selection decision). See the Scoring &amp; Decision sheet for how these ratios combine into an Approve/Conditional/Reject recommendation.  |  © camsroy.com</t>
  </si>
  <si>
    <t>🎯  camsroy.com  |  RISK ASSESSMENT &amp; SCORING  —  Data Quality, Red Flags, Risk Score &amp; Final Decision</t>
  </si>
  <si>
    <t>DuPont and Altman Z-Score (below) are supplementary cross-checks only — the Vendor Financial Risk Score (Section B) is the main decision engine. Data Quality and Red Flags can override the score-based decision.</t>
  </si>
  <si>
    <t>📐  DUPONT ANALYSIS — 3-Step ROE Decomposition</t>
  </si>
  <si>
    <t>ROE = Net Profit Margin × Asset Turnover × Equity Multiplier</t>
  </si>
  <si>
    <t>Component</t>
  </si>
  <si>
    <t>Net Profit Margin (%) — Profitability</t>
  </si>
  <si>
    <t>Asset Turnover (x) — Efficiency</t>
  </si>
  <si>
    <t>Equity Multiplier (x) — Leverage</t>
  </si>
  <si>
    <t>ROE (DuPont) = NPM × Asset Turnover × Equity Multiplier</t>
  </si>
  <si>
    <t>ROE (Direct calc) = Net Profit ÷ Equity — cross-check</t>
  </si>
  <si>
    <t>Cross-Check (should be ~0)</t>
  </si>
  <si>
    <t>🚨  ALTMAN Z''-SCORE — Financial Distress Early Warning (Private Company Model)</t>
  </si>
  <si>
    <t>Z'' = 6.56(X1) + 3.26(X2) + 6.72(X3) + 1.05(X4)  —  for private/non-manufacturing companies</t>
  </si>
  <si>
    <t>X1 = Working Capital ÷ Total Assets</t>
  </si>
  <si>
    <t>X2 = Retained Earnings ÷ Total Assets</t>
  </si>
  <si>
    <t>X3 = EBIT ÷ Total Assets</t>
  </si>
  <si>
    <t>X4 = Book Value of Equity ÷ Total Liabilities</t>
  </si>
  <si>
    <t>🔍  A. FINANCIAL DATA QUALITY CHECK</t>
  </si>
  <si>
    <t>Check</t>
  </si>
  <si>
    <t>Status</t>
  </si>
  <si>
    <t>Detail</t>
  </si>
  <si>
    <t>Balance Sheet Ties Out (all 3 years)</t>
  </si>
  <si>
    <t>Assets must equal Liabilities+Equity in every year — checked on the Balance Sheet tab</t>
  </si>
  <si>
    <t>Key Latest-Year Figures Present (non-zero)</t>
  </si>
  <si>
    <t>Checks Revenue and Total Assets are positive, and Equity/Inventory/Receivables/Payables were actually entered (0 is a valid entry — e.g. service vendors legitimately carry no inventory — but a blank cell means the figure is missing)</t>
  </si>
  <si>
    <t>All 3 Years of Revenue Provided</t>
  </si>
  <si>
    <t>If any year is blank/zero, trend-based Remarks and Working Capital Risk scoring will be less reliable</t>
  </si>
  <si>
    <t>⚠ OVERALL DATA QUALITY STATUS</t>
  </si>
  <si>
    <t>If INSUFFICIENT, the Final Decision below will show 'Insufficient Data' regardless of any score</t>
  </si>
  <si>
    <t>📊  B. VENDOR FINANCIAL RISK SCORE — WEIGHTED SCORECARD (Latest Year, out of 3.00)</t>
  </si>
  <si>
    <t>Latest Value</t>
  </si>
  <si>
    <t>Score (1-3)</t>
  </si>
  <si>
    <t>Weighted
Score</t>
  </si>
  <si>
    <t>Scoring Logic</t>
  </si>
  <si>
    <t>3=Comfortable(≥1.5x) | 2=Adequate(1.25-1.5x) | 1=Strained(&lt;1.25x)</t>
  </si>
  <si>
    <t>3=Healthy(≥1.5x) | 2=Adequate(1.0-1.5x) | 1=Weak(&lt;1.0x)</t>
  </si>
  <si>
    <t>3=Full conversion(≥1.0x) | 2=Adequate(0.8-1.0x) | 1=Poor(&lt;0.8x)</t>
  </si>
  <si>
    <t>3=Conservative(≤1.5x) | 2=Elevated(1.5-2.5x) | 1=High Risk(&gt;2.5x)</t>
  </si>
  <si>
    <t>3=CCC same or improved | 2=Worsened ≤20 days | 1=Worsened &gt;20 days (absolute day change, sign-safe)</t>
  </si>
  <si>
    <t>3=Positive &amp; improving vs 3yrs ago | 2=Positive but declining | 1=Loss-making</t>
  </si>
  <si>
    <t>VENDOR FINANCIAL RISK SCORE (out of 3.00)</t>
  </si>
  <si>
    <t>🚨  C. FINANCIAL RED FLAGS (Latest Year vs Prior, where applicable)</t>
  </si>
  <si>
    <t>Flag</t>
  </si>
  <si>
    <t>Triggered?</t>
  </si>
  <si>
    <t>Critical?</t>
  </si>
  <si>
    <t>Negative Operating Cash Flow (CFO)</t>
  </si>
  <si>
    <t>🟠 HIGH PRIORITY</t>
  </si>
  <si>
    <t>A single year of negative operating cash flow doesn't automatically mean rejection — e.g. a growing vendor may have temporary working-capital investment. Shown as a strong caution, reviewed alongside other flags, but does not by itself override the score-based decision.</t>
  </si>
  <si>
    <t>Negative Net Profit (PAT)</t>
  </si>
  <si>
    <t>Standard</t>
  </si>
  <si>
    <t>Loss-making in the latest year</t>
  </si>
  <si>
    <t>Negative Net Worth (Total Equity)</t>
  </si>
  <si>
    <t>🔴 CRITICAL</t>
  </si>
  <si>
    <t>Liabilities exceed assets — technically insolvent</t>
  </si>
  <si>
    <t>Weak Liquidity (Current Ratio &lt; 1.0x)</t>
  </si>
  <si>
    <t>Current assets don't cover current liabilities</t>
  </si>
  <si>
    <t>High Leverage (Debt:Equity &gt; 2.5x)</t>
  </si>
  <si>
    <t>Heavily reliant on borrowed money</t>
  </si>
  <si>
    <t>Declining Revenue (latest vs prior year)</t>
  </si>
  <si>
    <t>Business may be shrinking</t>
  </si>
  <si>
    <t>Declining Profit (latest vs prior year)</t>
  </si>
  <si>
    <t>Profitability moving in the wrong direction</t>
  </si>
  <si>
    <t>Weak DSCR (&lt; 1.0x)</t>
  </si>
  <si>
    <t>Cash generation doesn't even cover debt obligations — high default risk</t>
  </si>
  <si>
    <t>Rising Receivable Days (≥20% increase vs prior year)</t>
  </si>
  <si>
    <t>Vendor's own customers are taking longer to pay — a cash squeeze risk that could delay YOUR deliveries</t>
  </si>
  <si>
    <t>Total Flags Triggered</t>
  </si>
  <si>
    <t>Out of 9 possible flags</t>
  </si>
  <si>
    <t>⚠ CRITICAL Flags Triggered</t>
  </si>
  <si>
    <t>Any critical flag (negative CFO, negative net worth, or DSCR&lt;1.0x) overrides the score-based decision below</t>
  </si>
  <si>
    <t>🚦  D. FINAL DECISION</t>
  </si>
  <si>
    <t>Recommendation</t>
  </si>
  <si>
    <t>💡  E. SUGGESTED CONDITIONS (if Approve with Conditions or Reject)</t>
  </si>
  <si>
    <t>Require bank guarantee / letter of credit</t>
  </si>
  <si>
    <t>Require advance payment (30-50%) before dispatch</t>
  </si>
  <si>
    <t>Verify cash flow statements each quarter</t>
  </si>
  <si>
    <t>Cap credit period; monitor leverage quarterly</t>
  </si>
  <si>
    <t>Phase order ramp-up; avoid large upfront commitment</t>
  </si>
  <si>
    <t>Qualify a secondary/backup vendor</t>
  </si>
  <si>
    <t>🎯  F. BUYER EXPOSURE FLAGS (separate from score — context, not a health signal)</t>
  </si>
  <si>
    <t>ℹ  Decision priority: Insufficient Data (Section A) overrides everything → Critical Red Flags (Section C) override the numeric score → otherwise the Vendor Financial Risk Score (Section B) determines Approve/Conditional/Reject. Altman Z''-Score (top of sheet) is a supplementary cross-check only — it is NOT part of the weighted score. Buyer Exposure (Section F) is context for how to structure the relationship, not a health signal.  |  © camsroy.com</t>
  </si>
  <si>
    <t>📊  camsroy.com  |  VENDOR DUE DILIGENCE DASHBOARD</t>
  </si>
  <si>
    <t>🎯  VENDOR FINANCIAL RISK SCORE  →  RISK LEVEL</t>
  </si>
  <si>
    <t>RISK LEVEL</t>
  </si>
  <si>
    <t>🚦  FINAL RECOMMENDATION</t>
  </si>
  <si>
    <t>🚨  CRITICAL RED FLAGS</t>
  </si>
  <si>
    <t>Critical Flags</t>
  </si>
  <si>
    <t>Data Quality</t>
  </si>
  <si>
    <t>📊  KEY RATIOS (Latest Year)</t>
  </si>
  <si>
    <t>Current Ratio (x)</t>
  </si>
  <si>
    <t>DSCR (x)</t>
  </si>
  <si>
    <t>Debt : Equity (x)</t>
  </si>
  <si>
    <t>Free Cash Flow (₹, auto-calc)</t>
  </si>
  <si>
    <t>Altman Z''-Score (supplementary indicator)</t>
  </si>
  <si>
    <t>💡  SUGGESTED CONDITIONS</t>
  </si>
  <si>
    <t>📏  RISK SCORE GAUGE (Chart Data)</t>
  </si>
  <si>
    <t>Range Width</t>
  </si>
  <si>
    <t>Reject (0-1.7)</t>
  </si>
  <si>
    <t>Conditional (1.7-2.4)</t>
  </si>
  <si>
    <t>Approve (2.4-3.0)</t>
  </si>
  <si>
    <t>Actual Score Marker</t>
  </si>
  <si>
    <t>📈  REVENUE &amp; NET PROFIT — 3-YEAR TREND (Chart Data)</t>
  </si>
  <si>
    <t>Year</t>
  </si>
  <si>
    <t>Revenue (₹)</t>
  </si>
  <si>
    <t>Net Profit (₹)</t>
  </si>
  <si>
    <t>📊  KEY RISK INDICATORS — 3-YEAR TREND (Chart Data)</t>
  </si>
  <si>
    <t>Z-Score</t>
  </si>
  <si>
    <t>Debt:Equity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</si>
</sst>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\x"/>
    <numFmt numFmtId="166" formatCode="0.0"/>
    <numFmt numFmtId="167" formatCode="0.000"/>
  </numFmts>
  <fonts count="48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</font>
    <font>
      <b/>
      <sz val="22"/>
      <color rgb="FFFFFFFF"/>
      <name val="Times New Roman"/>
      <family val="1"/>
    </font>
    <font>
      <i/>
      <sz val="9"/>
      <color rgb="FFF3E5F5"/>
      <name val="Times New Roman"/>
      <family val="1"/>
    </font>
    <font>
      <b/>
      <sz val="20"/>
      <color rgb="FFFFFFFF"/>
      <name val="Times New Roman"/>
      <family val="1"/>
    </font>
    <font>
      <b/>
      <sz val="14"/>
      <color rgb="FFAED6F1"/>
      <name val="Times New Roman"/>
      <family val="1"/>
    </font>
    <font>
      <i/>
      <sz val="10"/>
      <color rgb="FFD7BDE2"/>
      <name val="Times New Roman"/>
      <family val="1"/>
    </font>
    <font>
      <sz val="10"/>
      <color rgb="FFAED6F1"/>
      <name val="Times New Roman"/>
      <family val="1"/>
    </font>
    <font>
      <b/>
      <sz val="10"/>
      <color rgb="FFFFFFFF"/>
      <name val="Times New Roman"/>
      <family val="1"/>
    </font>
    <font>
      <b/>
      <sz val="11"/>
      <color rgb="FFAED6F1"/>
      <name val="Times New Roman"/>
      <family val="1"/>
    </font>
    <font>
      <sz val="11"/>
      <color rgb="FFD4AC0D"/>
      <name val="Times New Roman"/>
      <family val="1"/>
    </font>
    <font>
      <sz val="9"/>
      <color rgb="FFBDC3C7"/>
      <name val="Times New Roman"/>
      <family val="1"/>
    </font>
    <font>
      <b/>
      <sz val="10"/>
      <color rgb="FFAED6F1"/>
      <name val="Times New Roman"/>
      <family val="1"/>
    </font>
    <font>
      <b/>
      <sz val="10"/>
      <color rgb="FFD4AC0D"/>
      <name val="Times New Roman"/>
      <family val="1"/>
    </font>
    <font>
      <b/>
      <sz val="9"/>
      <color rgb="FFD4AC0D"/>
      <name val="Times New Roman"/>
      <family val="1"/>
    </font>
    <font>
      <sz val="8"/>
      <color rgb="FF7F8C8D"/>
      <name val="Times New Roman"/>
      <family val="1"/>
    </font>
    <font>
      <b/>
      <sz val="12"/>
      <color rgb="FFFFFFFF"/>
      <name val="Times New Roman"/>
      <family val="1"/>
    </font>
    <font>
      <b/>
      <sz val="10"/>
      <color rgb="FF0D1B2A"/>
      <name val="Times New Roman"/>
      <family val="1"/>
    </font>
    <font>
      <sz val="9"/>
      <color rgb="FF0D1B2A"/>
      <name val="Times New Roman"/>
      <family val="1"/>
    </font>
    <font>
      <i/>
      <sz val="8"/>
      <color rgb="FF888888"/>
      <name val="Times New Roman"/>
      <family val="1"/>
    </font>
    <font>
      <i/>
      <sz val="9"/>
      <color rgb="FF555555"/>
      <name val="Times New Roman"/>
      <family val="1"/>
    </font>
    <font>
      <b/>
      <sz val="9"/>
      <color rgb="FFFFFFFF"/>
      <name val="Times New Roman"/>
      <family val="1"/>
    </font>
    <font>
      <sz val="9"/>
      <color rgb="FF0000FF"/>
      <name val="Times New Roman"/>
      <family val="1"/>
    </font>
    <font>
      <i/>
      <sz val="8"/>
      <color rgb="FF555555"/>
      <name val="Times New Roman"/>
      <family val="1"/>
    </font>
    <font>
      <b/>
      <sz val="9"/>
      <color rgb="FF0000FF"/>
      <name val="Times New Roman"/>
      <family val="1"/>
    </font>
    <font>
      <b/>
      <sz val="9"/>
      <color rgb="FF0D1B2A"/>
      <name val="Times New Roman"/>
      <family val="1"/>
    </font>
    <font>
      <sz val="10"/>
      <color theme="1"/>
      <name val="Times New Roman"/>
      <family val="1"/>
    </font>
    <font>
      <i/>
      <sz val="10"/>
      <color rgb="FF555555"/>
      <name val="Times New Roman"/>
      <family val="1"/>
    </font>
    <font>
      <sz val="10"/>
      <color rgb="FF0D1B2A"/>
      <name val="Times New Roman"/>
      <family val="1"/>
    </font>
    <font>
      <sz val="10"/>
      <color rgb="FF0000FF"/>
      <name val="Times New Roman"/>
      <family val="1"/>
    </font>
    <font>
      <b/>
      <sz val="10"/>
      <color rgb="FF117A65"/>
      <name val="Times New Roman"/>
      <family val="1"/>
    </font>
    <font>
      <b/>
      <sz val="14"/>
      <color rgb="FFFFFFFF"/>
      <name val="Times New Roman"/>
      <family val="1"/>
    </font>
    <font>
      <b/>
      <sz val="10"/>
      <color rgb="FFA04000"/>
      <name val="Times New Roman"/>
      <family val="1"/>
    </font>
    <font>
      <sz val="10"/>
      <color theme="0"/>
      <name val="Times New Roman"/>
      <family val="1"/>
    </font>
    <font>
      <i/>
      <sz val="10"/>
      <color rgb="FF1A237E"/>
      <name val="Times New Roman"/>
      <family val="1"/>
    </font>
    <font>
      <i/>
      <sz val="10"/>
      <color rgb="FF7D6608"/>
      <name val="Times New Roman"/>
      <family val="1"/>
    </font>
    <font>
      <sz val="11"/>
      <name val="Times New Roman"/>
      <family val="1"/>
    </font>
    <font>
      <sz val="9"/>
      <color rgb="FF000000"/>
      <name val="Times New Roman"/>
      <family val="1"/>
    </font>
    <font>
      <sz val="9"/>
      <color rgb="FF008000"/>
      <name val="Times New Roman"/>
      <family val="1"/>
    </font>
    <font>
      <i/>
      <sz val="7"/>
      <color rgb="FF555555"/>
      <name val="Times New Roman"/>
      <family val="1"/>
    </font>
    <font>
      <b/>
      <sz val="11"/>
      <color rgb="FFFFFFFF"/>
      <name val="Times New Roman"/>
      <family val="1"/>
    </font>
    <font>
      <i/>
      <sz val="8"/>
      <color rgb="FFB7950B"/>
      <name val="Times New Roman"/>
      <family val="1"/>
    </font>
    <font>
      <i/>
      <sz val="8"/>
      <color rgb="FF922B21"/>
      <name val="Times New Roman"/>
      <family val="1"/>
    </font>
    <font>
      <b/>
      <sz val="10"/>
      <color rgb="FF922B21"/>
      <name val="Times New Roman"/>
      <family val="1"/>
    </font>
    <font>
      <b/>
      <sz val="11"/>
      <color rgb="FF0D1B2A"/>
      <name val="Times New Roman"/>
      <family val="1"/>
    </font>
    <font>
      <b/>
      <sz val="9"/>
      <color rgb="FFD5D8DC"/>
      <name val="Times New Roman"/>
      <family val="1"/>
    </font>
    <font>
      <b/>
      <sz val="28"/>
      <color rgb="FFFFFFFF"/>
      <name val="Times New Roman"/>
      <family val="1"/>
    </font>
    <font>
      <b/>
      <sz val="16"/>
      <color rgb="FF0D1B2A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0D1B2A"/>
        <bgColor rgb="FF081118"/>
      </patternFill>
    </fill>
    <fill>
      <patternFill patternType="solid">
        <fgColor rgb="FF6C3483"/>
        <bgColor rgb="FF555555"/>
      </patternFill>
    </fill>
    <fill>
      <patternFill patternType="solid">
        <fgColor rgb="FFD6EAF8"/>
        <bgColor rgb="FFD5F5E3"/>
      </patternFill>
    </fill>
    <fill>
      <patternFill patternType="solid">
        <fgColor rgb="FFD5F5E3"/>
        <bgColor rgb="FFD6EAF8"/>
      </patternFill>
    </fill>
    <fill>
      <patternFill patternType="solid">
        <fgColor rgb="FFFCF3CF"/>
        <bgColor rgb="FFFEF5E7"/>
      </patternFill>
    </fill>
    <fill>
      <patternFill patternType="solid">
        <fgColor rgb="FFFDEDEC"/>
        <bgColor rgb="FFFEF5E7"/>
      </patternFill>
    </fill>
    <fill>
      <patternFill patternType="solid">
        <fgColor rgb="FFF2F3F4"/>
        <bgColor rgb="FFF8F9F9"/>
      </patternFill>
    </fill>
    <fill>
      <patternFill patternType="solid">
        <fgColor rgb="FF1B4F72"/>
        <bgColor rgb="FF0E6655"/>
      </patternFill>
    </fill>
    <fill>
      <patternFill patternType="solid">
        <fgColor rgb="FF117A65"/>
        <bgColor rgb="FF0E6655"/>
      </patternFill>
    </fill>
    <fill>
      <patternFill patternType="solid">
        <fgColor rgb="FFA04000"/>
        <bgColor rgb="FF922B21"/>
      </patternFill>
    </fill>
    <fill>
      <patternFill patternType="solid">
        <fgColor rgb="FFD4AC0D"/>
        <bgColor rgb="FFB7950B"/>
      </patternFill>
    </fill>
    <fill>
      <patternFill patternType="solid">
        <fgColor rgb="FFFAE5D3"/>
        <bgColor rgb="FFFDEDEC"/>
      </patternFill>
    </fill>
    <fill>
      <patternFill patternType="solid">
        <fgColor rgb="FF081118"/>
        <bgColor rgb="FF0D1B2A"/>
      </patternFill>
    </fill>
    <fill>
      <patternFill patternType="solid">
        <fgColor rgb="FF0E6655"/>
        <bgColor rgb="FF117A65"/>
      </patternFill>
    </fill>
    <fill>
      <patternFill patternType="solid">
        <fgColor rgb="FF922B21"/>
        <bgColor rgb="FFA04000"/>
      </patternFill>
    </fill>
    <fill>
      <patternFill patternType="solid">
        <fgColor rgb="FFF8F9F9"/>
        <bgColor rgb="FFF2F3F4"/>
      </patternFill>
    </fill>
    <fill>
      <patternFill patternType="solid">
        <fgColor rgb="FFEAECEE"/>
        <bgColor rgb="FFF2F3F4"/>
      </patternFill>
    </fill>
    <fill>
      <patternFill patternType="solid">
        <fgColor rgb="FFB7950B"/>
        <bgColor rgb="FFD4AC0D"/>
      </patternFill>
    </fill>
  </fills>
  <borders count="5">
    <border>
      <left/>
      <right/>
      <top/>
      <bottom/>
      <diagonal/>
    </border>
    <border>
      <left/>
      <right/>
      <top/>
      <bottom style="thin">
        <color rgb="FF2E86C1"/>
      </bottom>
      <diagonal/>
    </border>
    <border>
      <left/>
      <right/>
      <top/>
      <bottom style="medium">
        <color rgb="FF0D1B2A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8" fillId="9" borderId="0" xfId="0" applyFont="1" applyFill="1" applyAlignment="1">
      <alignment horizontal="left" vertical="center" wrapText="1" indent="1"/>
    </xf>
    <xf numFmtId="0" fontId="18" fillId="8" borderId="0" xfId="0" applyFont="1" applyFill="1" applyAlignment="1">
      <alignment horizontal="left" vertical="center" wrapText="1" indent="2"/>
    </xf>
    <xf numFmtId="0" fontId="21" fillId="9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left" vertical="center" wrapText="1" indent="1"/>
    </xf>
    <xf numFmtId="0" fontId="22" fillId="4" borderId="3" xfId="0" applyFont="1" applyFill="1" applyBorder="1" applyAlignment="1">
      <alignment horizontal="left" vertical="center" wrapText="1" indent="1"/>
    </xf>
    <xf numFmtId="0" fontId="23" fillId="8" borderId="3" xfId="0" applyFont="1" applyFill="1" applyBorder="1" applyAlignment="1">
      <alignment horizontal="left" vertical="center" wrapText="1" indent="1"/>
    </xf>
    <xf numFmtId="1" fontId="24" fillId="4" borderId="3" xfId="0" applyNumberFormat="1" applyFont="1" applyFill="1" applyBorder="1" applyAlignment="1">
      <alignment horizontal="center" vertical="center" wrapText="1"/>
    </xf>
    <xf numFmtId="3" fontId="24" fillId="4" borderId="3" xfId="0" applyNumberFormat="1" applyFont="1" applyFill="1" applyBorder="1" applyAlignment="1">
      <alignment horizontal="right" vertical="center"/>
    </xf>
    <xf numFmtId="9" fontId="24" fillId="4" borderId="3" xfId="0" applyNumberFormat="1" applyFont="1" applyFill="1" applyBorder="1" applyAlignment="1">
      <alignment horizontal="right" vertical="center"/>
    </xf>
    <xf numFmtId="0" fontId="25" fillId="12" borderId="3" xfId="0" applyFont="1" applyFill="1" applyBorder="1" applyAlignment="1">
      <alignment horizontal="left" vertical="center" wrapText="1" indent="1"/>
    </xf>
    <xf numFmtId="9" fontId="25" fillId="12" borderId="3" xfId="0" applyNumberFormat="1" applyFont="1" applyFill="1" applyBorder="1" applyAlignment="1">
      <alignment horizontal="right" vertical="center"/>
    </xf>
    <xf numFmtId="0" fontId="23" fillId="12" borderId="3" xfId="0" applyFont="1" applyFill="1" applyBorder="1" applyAlignment="1">
      <alignment horizontal="left" vertical="center" wrapText="1" indent="1"/>
    </xf>
    <xf numFmtId="0" fontId="24" fillId="4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 vertical="center" wrapText="1" indent="1"/>
    </xf>
    <xf numFmtId="0" fontId="21" fillId="2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left" vertical="center" wrapText="1" indent="1"/>
    </xf>
    <xf numFmtId="0" fontId="8" fillId="10" borderId="3" xfId="0" applyFont="1" applyFill="1" applyBorder="1" applyAlignment="1">
      <alignment horizontal="left" vertical="center" wrapText="1" indent="1"/>
    </xf>
    <xf numFmtId="3" fontId="8" fillId="10" borderId="3" xfId="0" applyNumberFormat="1" applyFont="1" applyFill="1" applyBorder="1" applyAlignment="1">
      <alignment horizontal="right" vertical="center"/>
    </xf>
    <xf numFmtId="0" fontId="20" fillId="8" borderId="3" xfId="0" applyFont="1" applyFill="1" applyBorder="1" applyAlignment="1">
      <alignment horizontal="left" vertical="center" wrapText="1" indent="1"/>
    </xf>
    <xf numFmtId="0" fontId="23" fillId="8" borderId="3" xfId="0" applyFont="1" applyFill="1" applyBorder="1" applyAlignment="1">
      <alignment horizontal="center" vertical="center" wrapText="1"/>
    </xf>
    <xf numFmtId="0" fontId="26" fillId="0" borderId="0" xfId="0" applyFont="1"/>
    <xf numFmtId="0" fontId="8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left" vertical="center" wrapText="1" indent="1"/>
    </xf>
    <xf numFmtId="3" fontId="29" fillId="4" borderId="3" xfId="0" applyNumberFormat="1" applyFont="1" applyFill="1" applyBorder="1" applyAlignment="1">
      <alignment horizontal="right" vertical="center"/>
    </xf>
    <xf numFmtId="0" fontId="30" fillId="5" borderId="3" xfId="0" applyFont="1" applyFill="1" applyBorder="1" applyAlignment="1">
      <alignment horizontal="left" vertical="center" wrapText="1" indent="1"/>
    </xf>
    <xf numFmtId="3" fontId="30" fillId="5" borderId="3" xfId="0" applyNumberFormat="1" applyFont="1" applyFill="1" applyBorder="1" applyAlignment="1">
      <alignment horizontal="right" vertical="center"/>
    </xf>
    <xf numFmtId="0" fontId="27" fillId="8" borderId="3" xfId="0" applyFont="1" applyFill="1" applyBorder="1" applyAlignment="1">
      <alignment horizontal="left" vertical="center" wrapText="1" indent="1"/>
    </xf>
    <xf numFmtId="164" fontId="27" fillId="8" borderId="3" xfId="0" applyNumberFormat="1" applyFont="1" applyFill="1" applyBorder="1" applyAlignment="1">
      <alignment horizontal="right" vertical="center"/>
    </xf>
    <xf numFmtId="0" fontId="17" fillId="8" borderId="3" xfId="0" applyFont="1" applyFill="1" applyBorder="1" applyAlignment="1">
      <alignment horizontal="left" vertical="center" wrapText="1" indent="1"/>
    </xf>
    <xf numFmtId="3" fontId="17" fillId="8" borderId="3" xfId="0" applyNumberFormat="1" applyFont="1" applyFill="1" applyBorder="1" applyAlignment="1">
      <alignment horizontal="right" vertical="center"/>
    </xf>
    <xf numFmtId="0" fontId="28" fillId="13" borderId="3" xfId="0" applyFont="1" applyFill="1" applyBorder="1" applyAlignment="1">
      <alignment horizontal="left" vertical="center" wrapText="1" indent="1"/>
    </xf>
    <xf numFmtId="3" fontId="29" fillId="13" borderId="3" xfId="0" applyNumberFormat="1" applyFont="1" applyFill="1" applyBorder="1" applyAlignment="1">
      <alignment horizontal="right" vertical="center"/>
    </xf>
    <xf numFmtId="0" fontId="27" fillId="8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 indent="1"/>
    </xf>
    <xf numFmtId="3" fontId="8" fillId="3" borderId="3" xfId="0" applyNumberFormat="1" applyFont="1" applyFill="1" applyBorder="1" applyAlignment="1">
      <alignment horizontal="right" vertical="center"/>
    </xf>
    <xf numFmtId="0" fontId="8" fillId="11" borderId="3" xfId="0" applyFont="1" applyFill="1" applyBorder="1" applyAlignment="1">
      <alignment horizontal="left" vertical="center" wrapText="1" indent="1"/>
    </xf>
    <xf numFmtId="3" fontId="8" fillId="11" borderId="3" xfId="0" applyNumberFormat="1" applyFont="1" applyFill="1" applyBorder="1" applyAlignment="1">
      <alignment horizontal="right" vertical="center"/>
    </xf>
    <xf numFmtId="0" fontId="28" fillId="6" borderId="3" xfId="0" applyFont="1" applyFill="1" applyBorder="1" applyAlignment="1">
      <alignment horizontal="left" vertical="center" wrapText="1" indent="1"/>
    </xf>
    <xf numFmtId="3" fontId="29" fillId="6" borderId="3" xfId="0" applyNumberFormat="1" applyFont="1" applyFill="1" applyBorder="1" applyAlignment="1">
      <alignment horizontal="right" vertical="center"/>
    </xf>
    <xf numFmtId="0" fontId="32" fillId="13" borderId="3" xfId="0" applyFont="1" applyFill="1" applyBorder="1" applyAlignment="1">
      <alignment horizontal="left" vertical="center" wrapText="1" indent="1"/>
    </xf>
    <xf numFmtId="3" fontId="32" fillId="13" borderId="3" xfId="0" applyNumberFormat="1" applyFont="1" applyFill="1" applyBorder="1" applyAlignment="1">
      <alignment horizontal="right" vertical="center"/>
    </xf>
    <xf numFmtId="0" fontId="17" fillId="12" borderId="3" xfId="0" applyFont="1" applyFill="1" applyBorder="1" applyAlignment="1">
      <alignment horizontal="left" vertical="center" wrapText="1" indent="1"/>
    </xf>
    <xf numFmtId="3" fontId="17" fillId="12" borderId="3" xfId="0" applyNumberFormat="1" applyFont="1" applyFill="1" applyBorder="1" applyAlignment="1">
      <alignment horizontal="right" vertical="center"/>
    </xf>
    <xf numFmtId="3" fontId="8" fillId="2" borderId="3" xfId="0" applyNumberFormat="1" applyFont="1" applyFill="1" applyBorder="1" applyAlignment="1">
      <alignment horizontal="right" vertical="center"/>
    </xf>
    <xf numFmtId="0" fontId="33" fillId="0" borderId="0" xfId="0" applyFont="1"/>
    <xf numFmtId="165" fontId="18" fillId="4" borderId="3" xfId="0" applyNumberFormat="1" applyFont="1" applyFill="1" applyBorder="1" applyAlignment="1">
      <alignment horizontal="right" vertical="center"/>
    </xf>
    <xf numFmtId="164" fontId="18" fillId="4" borderId="3" xfId="0" applyNumberFormat="1" applyFont="1" applyFill="1" applyBorder="1" applyAlignment="1">
      <alignment horizontal="right" vertical="center"/>
    </xf>
    <xf numFmtId="0" fontId="34" fillId="8" borderId="3" xfId="0" applyFont="1" applyFill="1" applyBorder="1" applyAlignment="1">
      <alignment horizontal="left" vertical="center" wrapText="1" indent="1"/>
    </xf>
    <xf numFmtId="165" fontId="28" fillId="4" borderId="3" xfId="0" applyNumberFormat="1" applyFont="1" applyFill="1" applyBorder="1" applyAlignment="1">
      <alignment horizontal="right" vertical="center"/>
    </xf>
    <xf numFmtId="0" fontId="35" fillId="6" borderId="3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left" vertical="center" wrapText="1" indent="1"/>
    </xf>
    <xf numFmtId="2" fontId="28" fillId="4" borderId="3" xfId="0" applyNumberFormat="1" applyFont="1" applyFill="1" applyBorder="1" applyAlignment="1">
      <alignment horizontal="right" vertical="center"/>
    </xf>
    <xf numFmtId="164" fontId="28" fillId="4" borderId="3" xfId="0" applyNumberFormat="1" applyFont="1" applyFill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166" fontId="28" fillId="4" borderId="3" xfId="0" applyNumberFormat="1" applyFont="1" applyFill="1" applyBorder="1" applyAlignment="1">
      <alignment horizontal="right" vertical="center"/>
    </xf>
    <xf numFmtId="164" fontId="8" fillId="10" borderId="3" xfId="0" applyNumberFormat="1" applyFont="1" applyFill="1" applyBorder="1" applyAlignment="1">
      <alignment horizontal="right" vertical="center"/>
    </xf>
    <xf numFmtId="164" fontId="23" fillId="8" borderId="3" xfId="0" applyNumberFormat="1" applyFont="1" applyFill="1" applyBorder="1" applyAlignment="1">
      <alignment horizontal="right" vertical="center"/>
    </xf>
    <xf numFmtId="0" fontId="23" fillId="6" borderId="3" xfId="0" applyFont="1" applyFill="1" applyBorder="1" applyAlignment="1">
      <alignment horizontal="left" vertical="center" wrapText="1" indent="1"/>
    </xf>
    <xf numFmtId="164" fontId="23" fillId="6" borderId="3" xfId="0" applyNumberFormat="1" applyFont="1" applyFill="1" applyBorder="1" applyAlignment="1">
      <alignment horizontal="right" vertical="center"/>
    </xf>
    <xf numFmtId="167" fontId="18" fillId="4" borderId="3" xfId="0" applyNumberFormat="1" applyFont="1" applyFill="1" applyBorder="1" applyAlignment="1">
      <alignment horizontal="right" vertical="center"/>
    </xf>
    <xf numFmtId="2" fontId="8" fillId="11" borderId="3" xfId="0" applyNumberFormat="1" applyFont="1" applyFill="1" applyBorder="1" applyAlignment="1">
      <alignment horizontal="right" vertical="center"/>
    </xf>
    <xf numFmtId="0" fontId="25" fillId="12" borderId="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/>
    <xf numFmtId="0" fontId="37" fillId="8" borderId="3" xfId="0" applyFont="1" applyFill="1" applyBorder="1" applyAlignment="1">
      <alignment horizontal="left" vertical="center" wrapText="1" indent="1"/>
    </xf>
    <xf numFmtId="2" fontId="25" fillId="12" borderId="3" xfId="0" applyNumberFormat="1" applyFont="1" applyFill="1" applyBorder="1" applyAlignment="1">
      <alignment horizontal="center" vertical="center" wrapText="1"/>
    </xf>
    <xf numFmtId="165" fontId="25" fillId="12" borderId="3" xfId="0" applyNumberFormat="1" applyFont="1" applyFill="1" applyBorder="1" applyAlignment="1">
      <alignment horizontal="center" vertical="center" wrapText="1"/>
    </xf>
    <xf numFmtId="164" fontId="25" fillId="12" borderId="3" xfId="0" applyNumberFormat="1" applyFont="1" applyFill="1" applyBorder="1" applyAlignment="1">
      <alignment horizontal="center" vertical="center" wrapText="1"/>
    </xf>
    <xf numFmtId="165" fontId="17" fillId="12" borderId="3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 indent="1"/>
    </xf>
    <xf numFmtId="165" fontId="36" fillId="0" borderId="0" xfId="0" applyNumberFormat="1" applyFont="1" applyAlignment="1">
      <alignment horizontal="right" vertical="center"/>
    </xf>
    <xf numFmtId="1" fontId="36" fillId="0" borderId="0" xfId="0" applyNumberFormat="1" applyFont="1" applyAlignment="1">
      <alignment horizontal="center" vertical="center" wrapText="1"/>
    </xf>
    <xf numFmtId="9" fontId="36" fillId="0" borderId="0" xfId="0" applyNumberFormat="1" applyFont="1" applyAlignment="1">
      <alignment horizontal="center" vertical="center" wrapText="1"/>
    </xf>
    <xf numFmtId="2" fontId="36" fillId="0" borderId="0" xfId="0" applyNumberFormat="1" applyFont="1" applyAlignment="1">
      <alignment horizontal="right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5" fontId="38" fillId="4" borderId="3" xfId="0" applyNumberFormat="1" applyFont="1" applyFill="1" applyBorder="1" applyAlignment="1">
      <alignment horizontal="right" vertical="center"/>
    </xf>
    <xf numFmtId="1" fontId="37" fillId="8" borderId="3" xfId="0" applyNumberFormat="1" applyFont="1" applyFill="1" applyBorder="1" applyAlignment="1">
      <alignment horizontal="center" vertical="center" wrapText="1"/>
    </xf>
    <xf numFmtId="9" fontId="38" fillId="4" borderId="3" xfId="0" applyNumberFormat="1" applyFont="1" applyFill="1" applyBorder="1" applyAlignment="1">
      <alignment horizontal="center" vertical="center" wrapText="1"/>
    </xf>
    <xf numFmtId="2" fontId="25" fillId="12" borderId="3" xfId="0" applyNumberFormat="1" applyFont="1" applyFill="1" applyBorder="1" applyAlignment="1">
      <alignment horizontal="right" vertical="center"/>
    </xf>
    <xf numFmtId="0" fontId="39" fillId="8" borderId="3" xfId="0" applyFont="1" applyFill="1" applyBorder="1" applyAlignment="1">
      <alignment horizontal="left" vertical="center" wrapText="1" indent="1"/>
    </xf>
    <xf numFmtId="166" fontId="38" fillId="4" borderId="3" xfId="0" applyNumberFormat="1" applyFont="1" applyFill="1" applyBorder="1" applyAlignment="1">
      <alignment horizontal="right" vertical="center"/>
    </xf>
    <xf numFmtId="164" fontId="38" fillId="4" borderId="3" xfId="0" applyNumberFormat="1" applyFont="1" applyFill="1" applyBorder="1" applyAlignment="1">
      <alignment horizontal="right" vertical="center"/>
    </xf>
    <xf numFmtId="0" fontId="36" fillId="3" borderId="3" xfId="0" applyFont="1" applyFill="1" applyBorder="1"/>
    <xf numFmtId="2" fontId="40" fillId="3" borderId="3" xfId="0" applyNumberFormat="1" applyFont="1" applyFill="1" applyBorder="1" applyAlignment="1">
      <alignment horizontal="right" vertical="center"/>
    </xf>
    <xf numFmtId="0" fontId="25" fillId="0" borderId="3" xfId="0" applyFont="1" applyBorder="1" applyAlignment="1">
      <alignment horizontal="center" vertical="center" wrapText="1"/>
    </xf>
    <xf numFmtId="0" fontId="41" fillId="8" borderId="3" xfId="0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 vertical="center" wrapText="1"/>
    </xf>
    <xf numFmtId="1" fontId="17" fillId="12" borderId="3" xfId="0" applyNumberFormat="1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left" vertical="center" wrapText="1" indent="1"/>
    </xf>
    <xf numFmtId="1" fontId="43" fillId="7" borderId="3" xfId="0" applyNumberFormat="1" applyFont="1" applyFill="1" applyBorder="1" applyAlignment="1">
      <alignment horizontal="center" vertical="center" wrapText="1"/>
    </xf>
    <xf numFmtId="164" fontId="38" fillId="0" borderId="3" xfId="0" applyNumberFormat="1" applyFont="1" applyBorder="1" applyAlignment="1">
      <alignment horizontal="left" vertical="center" wrapText="1" indent="1"/>
    </xf>
    <xf numFmtId="0" fontId="36" fillId="12" borderId="0" xfId="0" applyFont="1" applyFill="1"/>
    <xf numFmtId="165" fontId="36" fillId="0" borderId="0" xfId="0" applyNumberFormat="1" applyFont="1" applyAlignment="1">
      <alignment horizontal="center" vertical="center" wrapText="1"/>
    </xf>
    <xf numFmtId="0" fontId="18" fillId="17" borderId="3" xfId="0" applyFont="1" applyFill="1" applyBorder="1" applyAlignment="1">
      <alignment horizontal="left" vertical="center" wrapText="1" indent="1"/>
    </xf>
    <xf numFmtId="164" fontId="21" fillId="9" borderId="3" xfId="0" applyNumberFormat="1" applyFont="1" applyFill="1" applyBorder="1" applyAlignment="1">
      <alignment horizontal="center" vertical="center" wrapText="1"/>
    </xf>
    <xf numFmtId="2" fontId="18" fillId="17" borderId="3" xfId="0" applyNumberFormat="1" applyFont="1" applyFill="1" applyBorder="1" applyAlignment="1">
      <alignment horizontal="right" vertical="center"/>
    </xf>
    <xf numFmtId="2" fontId="25" fillId="17" borderId="3" xfId="0" applyNumberFormat="1" applyFont="1" applyFill="1" applyBorder="1" applyAlignment="1">
      <alignment horizontal="right" vertical="center"/>
    </xf>
    <xf numFmtId="3" fontId="21" fillId="9" borderId="3" xfId="0" applyNumberFormat="1" applyFont="1" applyFill="1" applyBorder="1" applyAlignment="1">
      <alignment horizontal="center" vertical="center" wrapText="1"/>
    </xf>
    <xf numFmtId="0" fontId="18" fillId="17" borderId="3" xfId="0" applyFont="1" applyFill="1" applyBorder="1" applyAlignment="1">
      <alignment horizontal="center" vertical="center" wrapText="1"/>
    </xf>
    <xf numFmtId="3" fontId="18" fillId="17" borderId="3" xfId="0" applyNumberFormat="1" applyFont="1" applyFill="1" applyBorder="1" applyAlignment="1">
      <alignment horizontal="right" vertical="center"/>
    </xf>
    <xf numFmtId="2" fontId="21" fillId="9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Protection="1">
      <protection locked="0"/>
    </xf>
    <xf numFmtId="0" fontId="7" fillId="2" borderId="0" xfId="0" applyFont="1" applyFill="1" applyAlignment="1" applyProtection="1">
      <alignment horizontal="left" vertical="center" wrapText="1" indent="1"/>
      <protection locked="0"/>
    </xf>
    <xf numFmtId="0" fontId="8" fillId="2" borderId="1" xfId="0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" fillId="4" borderId="0" xfId="0" applyFont="1" applyFill="1" applyProtection="1">
      <protection locked="0"/>
    </xf>
    <xf numFmtId="0" fontId="1" fillId="5" borderId="0" xfId="0" applyFont="1" applyFill="1" applyProtection="1">
      <protection locked="0"/>
    </xf>
    <xf numFmtId="0" fontId="1" fillId="6" borderId="0" xfId="0" applyFont="1" applyFill="1" applyProtection="1">
      <protection locked="0"/>
    </xf>
    <xf numFmtId="0" fontId="1" fillId="7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1" fillId="3" borderId="0" xfId="0" applyFont="1" applyFill="1"/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8" fillId="8" borderId="0" xfId="0" applyFont="1" applyFill="1" applyAlignment="1">
      <alignment horizontal="left" vertical="center" wrapText="1" indent="2"/>
    </xf>
    <xf numFmtId="0" fontId="17" fillId="8" borderId="2" xfId="0" applyFont="1" applyFill="1" applyBorder="1" applyAlignment="1">
      <alignment horizontal="left" vertical="center" wrapText="1" indent="1"/>
    </xf>
    <xf numFmtId="0" fontId="19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1"/>
    </xf>
    <xf numFmtId="0" fontId="8" fillId="11" borderId="0" xfId="0" applyFont="1" applyFill="1" applyAlignment="1">
      <alignment horizontal="left" vertical="center" wrapText="1" indent="1"/>
    </xf>
    <xf numFmtId="0" fontId="23" fillId="8" borderId="0" xfId="0" applyFont="1" applyFill="1" applyAlignment="1">
      <alignment horizontal="left" vertical="center" wrapText="1" indent="1"/>
    </xf>
    <xf numFmtId="0" fontId="20" fillId="8" borderId="0" xfId="0" applyFont="1" applyFill="1" applyAlignment="1">
      <alignment horizontal="left" vertical="center" wrapText="1" indent="1"/>
    </xf>
    <xf numFmtId="0" fontId="8" fillId="10" borderId="0" xfId="0" applyFont="1" applyFill="1" applyAlignment="1">
      <alignment horizontal="left" vertical="center" wrapText="1" indent="1"/>
    </xf>
    <xf numFmtId="0" fontId="8" fillId="3" borderId="0" xfId="0" applyFont="1" applyFill="1" applyAlignment="1">
      <alignment horizontal="left" vertical="center" wrapText="1" indent="1"/>
    </xf>
    <xf numFmtId="0" fontId="31" fillId="2" borderId="0" xfId="0" applyFont="1" applyFill="1" applyAlignment="1">
      <alignment horizontal="left" vertical="center" wrapText="1" indent="1"/>
    </xf>
    <xf numFmtId="0" fontId="27" fillId="8" borderId="0" xfId="0" applyFont="1" applyFill="1" applyAlignment="1">
      <alignment horizontal="left" vertical="center" wrapText="1" indent="1"/>
    </xf>
    <xf numFmtId="0" fontId="17" fillId="1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37" fillId="8" borderId="0" xfId="0" applyFont="1" applyFill="1" applyAlignment="1">
      <alignment horizontal="left" vertical="center" wrapText="1" indent="1"/>
    </xf>
    <xf numFmtId="0" fontId="25" fillId="0" borderId="4" xfId="0" applyFont="1" applyBorder="1" applyAlignment="1">
      <alignment horizontal="left" vertical="center" wrapText="1" indent="1"/>
    </xf>
    <xf numFmtId="0" fontId="44" fillId="12" borderId="4" xfId="0" applyFont="1" applyFill="1" applyBorder="1" applyAlignment="1">
      <alignment horizontal="left" vertical="center" wrapText="1" indent="1"/>
    </xf>
    <xf numFmtId="0" fontId="23" fillId="12" borderId="0" xfId="0" applyFont="1" applyFill="1" applyAlignment="1">
      <alignment horizontal="left" vertical="center" wrapText="1" indent="1"/>
    </xf>
    <xf numFmtId="0" fontId="23" fillId="7" borderId="0" xfId="0" applyFont="1" applyFill="1" applyAlignment="1">
      <alignment horizontal="left" vertical="center" wrapText="1" indent="1"/>
    </xf>
    <xf numFmtId="1" fontId="23" fillId="8" borderId="0" xfId="0" applyNumberFormat="1" applyFont="1" applyFill="1" applyAlignment="1">
      <alignment horizontal="left" vertical="center" wrapText="1" indent="1"/>
    </xf>
    <xf numFmtId="0" fontId="36" fillId="3" borderId="3" xfId="0" applyFont="1" applyFill="1" applyBorder="1"/>
    <xf numFmtId="0" fontId="44" fillId="19" borderId="0" xfId="0" applyFont="1" applyFill="1" applyAlignment="1">
      <alignment horizontal="left" vertical="center" wrapText="1" indent="1"/>
    </xf>
    <xf numFmtId="0" fontId="40" fillId="10" borderId="0" xfId="0" applyFont="1" applyFill="1" applyAlignment="1">
      <alignment horizontal="left" vertical="center" wrapText="1" indent="1"/>
    </xf>
    <xf numFmtId="0" fontId="40" fillId="16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2" fontId="25" fillId="0" borderId="4" xfId="0" applyNumberFormat="1" applyFont="1" applyBorder="1" applyAlignment="1">
      <alignment horizontal="center" vertical="center" wrapText="1"/>
    </xf>
    <xf numFmtId="2" fontId="17" fillId="18" borderId="3" xfId="0" applyNumberFormat="1" applyFont="1" applyFill="1" applyBorder="1" applyAlignment="1">
      <alignment horizontal="right" vertical="center"/>
    </xf>
    <xf numFmtId="164" fontId="17" fillId="13" borderId="3" xfId="0" applyNumberFormat="1" applyFont="1" applyFill="1" applyBorder="1" applyAlignment="1">
      <alignment horizontal="right" vertical="center"/>
    </xf>
    <xf numFmtId="165" fontId="17" fillId="5" borderId="3" xfId="0" applyNumberFormat="1" applyFont="1" applyFill="1" applyBorder="1" applyAlignment="1">
      <alignment horizontal="right" vertical="center"/>
    </xf>
    <xf numFmtId="165" fontId="17" fillId="4" borderId="3" xfId="0" applyNumberFormat="1" applyFont="1" applyFill="1" applyBorder="1" applyAlignment="1">
      <alignment horizontal="right" vertical="center"/>
    </xf>
    <xf numFmtId="3" fontId="17" fillId="4" borderId="3" xfId="0" applyNumberFormat="1" applyFont="1" applyFill="1" applyBorder="1" applyAlignment="1">
      <alignment horizontal="right" vertical="center"/>
    </xf>
    <xf numFmtId="0" fontId="40" fillId="14" borderId="0" xfId="0" applyFont="1" applyFill="1" applyAlignment="1">
      <alignment horizontal="left" vertical="center" wrapText="1" indent="1"/>
    </xf>
    <xf numFmtId="0" fontId="47" fillId="12" borderId="0" xfId="0" applyFont="1" applyFill="1" applyAlignment="1">
      <alignment horizontal="center" vertical="center" wrapText="1"/>
    </xf>
    <xf numFmtId="1" fontId="44" fillId="7" borderId="4" xfId="0" applyNumberFormat="1" applyFont="1" applyFill="1" applyBorder="1" applyAlignment="1">
      <alignment horizontal="center" vertical="center" wrapText="1"/>
    </xf>
    <xf numFmtId="1" fontId="40" fillId="16" borderId="4" xfId="0" applyNumberFormat="1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40" fillId="14" borderId="0" xfId="0" applyFont="1" applyFill="1" applyAlignment="1">
      <alignment horizontal="center" vertical="center" wrapText="1"/>
    </xf>
    <xf numFmtId="0" fontId="45" fillId="14" borderId="0" xfId="0" applyFont="1" applyFill="1" applyAlignment="1">
      <alignment horizontal="center" vertical="center" wrapText="1"/>
    </xf>
    <xf numFmtId="2" fontId="46" fillId="3" borderId="0" xfId="0" applyNumberFormat="1" applyFont="1" applyFill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707B7C"/>
        </patternFill>
      </fill>
    </dxf>
    <dxf>
      <fill>
        <patternFill>
          <bgColor rgb="FF922B21"/>
        </patternFill>
      </fill>
    </dxf>
    <dxf>
      <fill>
        <patternFill>
          <bgColor rgb="FFB7950B"/>
        </patternFill>
      </fill>
    </dxf>
    <dxf>
      <fill>
        <patternFill>
          <bgColor rgb="FF0E6655"/>
        </patternFill>
      </fill>
    </dxf>
    <dxf>
      <fill>
        <patternFill>
          <bgColor rgb="FFEAECEE"/>
        </patternFill>
      </fill>
    </dxf>
    <dxf>
      <fill>
        <patternFill>
          <bgColor rgb="FFFDEDEC"/>
        </patternFill>
      </fill>
    </dxf>
    <dxf>
      <fill>
        <patternFill>
          <bgColor rgb="FFFEF5E7"/>
        </patternFill>
      </fill>
    </dxf>
    <dxf>
      <fill>
        <patternFill>
          <bgColor rgb="FFD5F5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392B"/>
      <rgbColor rgb="FF00FF00"/>
      <rgbColor rgb="FF0000FF"/>
      <rgbColor rgb="FFFDEDEC"/>
      <rgbColor rgb="FFFF00FF"/>
      <rgbColor rgb="FFF8F9F9"/>
      <rgbColor rgb="FF800000"/>
      <rgbColor rgb="FF008000"/>
      <rgbColor rgb="FF000080"/>
      <rgbColor rgb="FF7D6608"/>
      <rgbColor rgb="FF800080"/>
      <rgbColor rgb="FF117A65"/>
      <rgbColor rgb="FFBDBDBD"/>
      <rgbColor rgb="FF888888"/>
      <rgbColor rgb="FFB3B3B3"/>
      <rgbColor rgb="FF922B21"/>
      <rgbColor rgb="FFFCF3CF"/>
      <rgbColor rgb="FFD6EAF8"/>
      <rgbColor rgb="FF660066"/>
      <rgbColor rgb="FFE74C3C"/>
      <rgbColor rgb="FF0066CC"/>
      <rgbColor rgb="FFD5D8DC"/>
      <rgbColor rgb="FF000080"/>
      <rgbColor rgb="FFFF00FF"/>
      <rgbColor rgb="FFF2F3F4"/>
      <rgbColor rgb="FF00FFFF"/>
      <rgbColor rgb="FF800080"/>
      <rgbColor rgb="FF800000"/>
      <rgbColor rgb="FF0E6655"/>
      <rgbColor rgb="FF0000FF"/>
      <rgbColor rgb="FF00CCFF"/>
      <rgbColor rgb="FFEAECEE"/>
      <rgbColor rgb="FFD5F5E3"/>
      <rgbColor rgb="FFFEF5E7"/>
      <rgbColor rgb="FFAED6F1"/>
      <rgbColor rgb="FFBDC3C7"/>
      <rgbColor rgb="FFD7BDE2"/>
      <rgbColor rgb="FFFAE5D3"/>
      <rgbColor rgb="FF2E86C1"/>
      <rgbColor rgb="FF1ABC9C"/>
      <rgbColor rgb="FFB7950B"/>
      <rgbColor rgb="FFD9D9D9"/>
      <rgbColor rgb="FFD4AC0D"/>
      <rgbColor rgb="FFE67E22"/>
      <rgbColor rgb="FF707B7C"/>
      <rgbColor rgb="FF7F8C8D"/>
      <rgbColor rgb="FF1A237E"/>
      <rgbColor rgb="FFF3E5F5"/>
      <rgbColor rgb="FF0D1B2A"/>
      <rgbColor rgb="FF081118"/>
      <rgbColor rgb="FFA04000"/>
      <rgbColor rgb="FF6C3483"/>
      <rgbColor rgb="FF1B4F72"/>
      <rgbColor rgb="FF5555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Risk Score Gauge — Reject / Conditional / Approve Zones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'📈 VENDOR DD DASHBOARD'!$B$35</c:f>
              <c:strCache>
                <c:ptCount val="1"/>
                <c:pt idx="0">
                  <c:v>Range Width</c:v>
                </c:pt>
              </c:strCache>
            </c:strRef>
          </c:tx>
          <c:spPr>
            <a:solidFill>
              <a:srgbClr val="C0392B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DASHBOARD'!$A$36:$A$38</c:f>
              <c:strCache>
                <c:ptCount val="3"/>
                <c:pt idx="0">
                  <c:v>Reject (0-1.7)</c:v>
                </c:pt>
                <c:pt idx="1">
                  <c:v>Conditional (1.7-2.4)</c:v>
                </c:pt>
                <c:pt idx="2">
                  <c:v>Approve (2.4-3.0)</c:v>
                </c:pt>
              </c:strCache>
            </c:strRef>
          </c:cat>
          <c:val>
            <c:numRef>
              <c:f>'📈 VENDOR DD DASHBOARD'!$B$36:$B$38</c:f>
              <c:numCache>
                <c:formatCode>0.00</c:formatCode>
                <c:ptCount val="3"/>
                <c:pt idx="0">
                  <c:v>1.7</c:v>
                </c:pt>
                <c:pt idx="1">
                  <c:v>0.7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9-4E63-B013-FC03CB22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9542674"/>
        <c:axId val="43757842"/>
      </c:barChart>
      <c:catAx>
        <c:axId val="8954267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Composite Score (0 - 3.0)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757842"/>
        <c:crosses val="autoZero"/>
        <c:auto val="1"/>
        <c:lblAlgn val="ctr"/>
        <c:lblOffset val="100"/>
        <c:noMultiLvlLbl val="0"/>
      </c:catAx>
      <c:valAx>
        <c:axId val="43757842"/>
        <c:scaling>
          <c:orientation val="minMax"/>
        </c:scaling>
        <c:delete val="1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0.00" sourceLinked="1"/>
        <c:majorTickMark val="none"/>
        <c:minorTickMark val="none"/>
        <c:tickLblPos val="nextTo"/>
        <c:crossAx val="8954267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Revenue &amp; Net Profit — 3-Year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'📈 VENDOR DD DASHBOARD'!$B$42</c:f>
              <c:strCache>
                <c:ptCount val="1"/>
                <c:pt idx="0">
                  <c:v>Revenue (₹)</c:v>
                </c:pt>
              </c:strCache>
            </c:strRef>
          </c:tx>
          <c:spPr>
            <a:solidFill>
              <a:srgbClr val="2E86C1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DASHBOARD'!$A$43:$A$45</c:f>
              <c:strCache>
                <c:ptCount val="3"/>
                <c:pt idx="0">
                  <c:v>Yr-1</c:v>
                </c:pt>
                <c:pt idx="1">
                  <c:v>Yr-2</c:v>
                </c:pt>
                <c:pt idx="2">
                  <c:v>Latest</c:v>
                </c:pt>
              </c:strCache>
            </c:strRef>
          </c:cat>
          <c:val>
            <c:numRef>
              <c:f>'📈 VENDOR DD DASHBOARD'!$B$43:$B$45</c:f>
              <c:numCache>
                <c:formatCode>#,##0</c:formatCode>
                <c:ptCount val="3"/>
                <c:pt idx="0">
                  <c:v>14200000</c:v>
                </c:pt>
                <c:pt idx="1">
                  <c:v>15650000</c:v>
                </c:pt>
                <c:pt idx="2">
                  <c:v>17480000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C-4F87-B64F-2D0E9614C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262396"/>
        <c:axId val="7397313"/>
      </c:barChart>
      <c:lineChart>
        <c:grouping val="standard"/>
        <c:varyColors val="0"/>
        <c:ser>
          <c:idx val="1"/>
          <c:order val="1"/>
          <c:tx>
            <c:strRef>
              <c:f>'📈 VENDOR DD DASHBOARD'!$C$42</c:f>
              <c:strCache>
                <c:ptCount val="1"/>
                <c:pt idx="0">
                  <c:v>Net Profit (₹)</c:v>
                </c:pt>
              </c:strCache>
            </c:strRef>
          </c:tx>
          <c:spPr>
            <a:ln w="28080">
              <a:solidFill>
                <a:srgbClr val="E67E22"/>
              </a:solidFill>
              <a:round/>
            </a:ln>
          </c:spPr>
          <c:marker>
            <c:symbol val="circle"/>
            <c:size val="7"/>
            <c:spPr>
              <a:solidFill>
                <a:srgbClr val="E67E2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DASHBOARD'!$A$43:$A$45</c:f>
              <c:strCache>
                <c:ptCount val="3"/>
                <c:pt idx="0">
                  <c:v>Yr-1</c:v>
                </c:pt>
                <c:pt idx="1">
                  <c:v>Yr-2</c:v>
                </c:pt>
                <c:pt idx="2">
                  <c:v>Latest</c:v>
                </c:pt>
              </c:strCache>
            </c:strRef>
          </c:cat>
          <c:val>
            <c:numRef>
              <c:f>'📈 VENDOR DD DASHBOARD'!$C$43:$C$45</c:f>
              <c:numCache>
                <c:formatCode>#,##0</c:formatCode>
                <c:ptCount val="3"/>
                <c:pt idx="0">
                  <c:v>722000</c:v>
                </c:pt>
                <c:pt idx="1">
                  <c:v>793000</c:v>
                </c:pt>
                <c:pt idx="2">
                  <c:v>991000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C-4F87-B64F-2D0E9614C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2565620"/>
        <c:axId val="39427218"/>
      </c:lineChart>
      <c:catAx>
        <c:axId val="992623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397313"/>
        <c:crosses val="autoZero"/>
        <c:auto val="1"/>
        <c:lblAlgn val="ctr"/>
        <c:lblOffset val="100"/>
        <c:noMultiLvlLbl val="0"/>
      </c:catAx>
      <c:valAx>
        <c:axId val="739731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Revenue (₹)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262396"/>
        <c:crosses val="autoZero"/>
        <c:crossBetween val="between"/>
      </c:valAx>
      <c:catAx>
        <c:axId val="525656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427218"/>
        <c:crosses val="autoZero"/>
        <c:auto val="1"/>
        <c:lblAlgn val="ctr"/>
        <c:lblOffset val="100"/>
        <c:noMultiLvlLbl val="0"/>
      </c:catAx>
      <c:valAx>
        <c:axId val="39427218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Net Profit (₹)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2565620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Key Risk Indicators — 3-Year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'📈 VENDOR DD DASHBOARD'!$B$48</c:f>
              <c:strCache>
                <c:ptCount val="1"/>
                <c:pt idx="0">
                  <c:v>Current Ratio</c:v>
                </c:pt>
              </c:strCache>
            </c:strRef>
          </c:tx>
          <c:spPr>
            <a:ln w="25920">
              <a:solidFill>
                <a:srgbClr val="6C3483"/>
              </a:solidFill>
              <a:round/>
            </a:ln>
          </c:spPr>
          <c:marker>
            <c:symbol val="circle"/>
            <c:size val="7"/>
            <c:spPr>
              <a:solidFill>
                <a:srgbClr val="6C3483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DASHBOARD'!$A$49:$A$51</c:f>
              <c:strCache>
                <c:ptCount val="3"/>
                <c:pt idx="0">
                  <c:v>Yr-1</c:v>
                </c:pt>
                <c:pt idx="1">
                  <c:v>Yr-2</c:v>
                </c:pt>
                <c:pt idx="2">
                  <c:v>Latest</c:v>
                </c:pt>
              </c:strCache>
            </c:strRef>
          </c:cat>
          <c:val>
            <c:numRef>
              <c:f>'📈 VENDOR DD DASHBOARD'!$B$49:$B$51</c:f>
              <c:numCache>
                <c:formatCode>0.00</c:formatCode>
                <c:ptCount val="3"/>
                <c:pt idx="0">
                  <c:v>2.5490196078431371</c:v>
                </c:pt>
                <c:pt idx="1">
                  <c:v>2.6798780487804876</c:v>
                </c:pt>
                <c:pt idx="2">
                  <c:v>2.8221722003376479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D-4966-9CB7-22C394519D5E}"/>
            </c:ext>
          </c:extLst>
        </c:ser>
        <c:ser>
          <c:idx val="1"/>
          <c:order val="1"/>
          <c:tx>
            <c:strRef>
              <c:f>'📈 VENDOR DD DASHBOARD'!$D$48</c:f>
              <c:strCache>
                <c:ptCount val="1"/>
                <c:pt idx="0">
                  <c:v>Debt:Equity</c:v>
                </c:pt>
              </c:strCache>
            </c:strRef>
          </c:tx>
          <c:spPr>
            <a:ln w="25920">
              <a:solidFill>
                <a:srgbClr val="E74C3C"/>
              </a:solidFill>
              <a:round/>
            </a:ln>
          </c:spPr>
          <c:marker>
            <c:symbol val="circle"/>
            <c:size val="7"/>
            <c:spPr>
              <a:solidFill>
                <a:srgbClr val="E74C3C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DASHBOARD'!$A$49:$A$51</c:f>
              <c:strCache>
                <c:ptCount val="3"/>
                <c:pt idx="0">
                  <c:v>Yr-1</c:v>
                </c:pt>
                <c:pt idx="1">
                  <c:v>Yr-2</c:v>
                </c:pt>
                <c:pt idx="2">
                  <c:v>Latest</c:v>
                </c:pt>
              </c:strCache>
            </c:strRef>
          </c:cat>
          <c:val>
            <c:numRef>
              <c:f>'📈 VENDOR DD DASHBOARD'!$D$49:$D$51</c:f>
              <c:numCache>
                <c:formatCode>0.00</c:formatCode>
                <c:ptCount val="3"/>
                <c:pt idx="0">
                  <c:v>0.45673076923076922</c:v>
                </c:pt>
                <c:pt idx="1">
                  <c:v>0.34921939194741169</c:v>
                </c:pt>
                <c:pt idx="2">
                  <c:v>0.25919439579684761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D-4966-9CB7-22C394519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3280973"/>
        <c:axId val="77434915"/>
      </c:lineChart>
      <c:lineChart>
        <c:grouping val="standard"/>
        <c:varyColors val="0"/>
        <c:ser>
          <c:idx val="2"/>
          <c:order val="2"/>
          <c:tx>
            <c:strRef>
              <c:f>'📈 VENDOR DD DASHBOARD'!$C$48</c:f>
              <c:strCache>
                <c:ptCount val="1"/>
                <c:pt idx="0">
                  <c:v>Z-Score</c:v>
                </c:pt>
              </c:strCache>
            </c:strRef>
          </c:tx>
          <c:spPr>
            <a:ln w="25920">
              <a:solidFill>
                <a:srgbClr val="1ABC9C"/>
              </a:solidFill>
              <a:prstDash val="dash"/>
              <a:round/>
            </a:ln>
          </c:spPr>
          <c:marker>
            <c:symbol val="diamond"/>
            <c:size val="8"/>
            <c:spPr>
              <a:solidFill>
                <a:srgbClr val="1ABC9C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VENDOR DD DASHBOARD'!$A$49:$A$51</c:f>
              <c:strCache>
                <c:ptCount val="3"/>
                <c:pt idx="0">
                  <c:v>Yr-1</c:v>
                </c:pt>
                <c:pt idx="1">
                  <c:v>Yr-2</c:v>
                </c:pt>
                <c:pt idx="2">
                  <c:v>Latest</c:v>
                </c:pt>
              </c:strCache>
            </c:strRef>
          </c:cat>
          <c:val>
            <c:numRef>
              <c:f>'📈 VENDOR DD DASHBOARD'!$C$49:$C$51</c:f>
              <c:numCache>
                <c:formatCode>0.00</c:formatCode>
                <c:ptCount val="3"/>
                <c:pt idx="0">
                  <c:v>5.8061630148992114</c:v>
                </c:pt>
                <c:pt idx="1">
                  <c:v>6.3592360455223602</c:v>
                </c:pt>
                <c:pt idx="2">
                  <c:v>7.046365590063763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8D-4966-9CB7-22C394519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6271048"/>
        <c:axId val="60794848"/>
      </c:lineChart>
      <c:catAx>
        <c:axId val="132809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7434915"/>
        <c:crosses val="autoZero"/>
        <c:auto val="1"/>
        <c:lblAlgn val="ctr"/>
        <c:lblOffset val="100"/>
        <c:noMultiLvlLbl val="0"/>
      </c:catAx>
      <c:valAx>
        <c:axId val="7743491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x (multiple)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3280973"/>
        <c:crosses val="autoZero"/>
        <c:crossBetween val="between"/>
      </c:valAx>
      <c:catAx>
        <c:axId val="36271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794848"/>
        <c:crosses val="autoZero"/>
        <c:auto val="1"/>
        <c:lblAlgn val="ctr"/>
        <c:lblOffset val="100"/>
        <c:noMultiLvlLbl val="0"/>
      </c:catAx>
      <c:valAx>
        <c:axId val="60794848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Z-Score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271048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20</xdr:col>
      <xdr:colOff>2880</xdr:colOff>
      <xdr:row>8</xdr:row>
      <xdr:rowOff>131385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11</xdr:row>
      <xdr:rowOff>0</xdr:rowOff>
    </xdr:from>
    <xdr:to>
      <xdr:col>20</xdr:col>
      <xdr:colOff>2880</xdr:colOff>
      <xdr:row>24</xdr:row>
      <xdr:rowOff>150120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33</xdr:row>
      <xdr:rowOff>0</xdr:rowOff>
    </xdr:from>
    <xdr:to>
      <xdr:col>20</xdr:col>
      <xdr:colOff>2880</xdr:colOff>
      <xdr:row>48</xdr:row>
      <xdr:rowOff>54720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2A"/>
  </sheetPr>
  <dimension ref="A1:G59"/>
  <sheetViews>
    <sheetView zoomScaleNormal="100" workbookViewId="0"/>
  </sheetViews>
  <sheetFormatPr defaultColWidth="8.7109375" defaultRowHeight="15" x14ac:dyDescent="0.25"/>
  <cols>
    <col min="1" max="1" width="3" style="106" customWidth="1"/>
    <col min="2" max="2" width="32" style="106" customWidth="1"/>
    <col min="3" max="3" width="64.7109375" style="106" customWidth="1"/>
    <col min="4" max="4" width="5" style="106" customWidth="1"/>
    <col min="5" max="16384" width="8.7109375" style="106"/>
  </cols>
  <sheetData>
    <row r="1" spans="1:7" ht="18" customHeight="1" x14ac:dyDescent="0.25">
      <c r="A1" s="117"/>
      <c r="B1" s="117"/>
      <c r="C1" s="117"/>
      <c r="D1" s="117"/>
      <c r="E1" s="117"/>
      <c r="F1" s="117"/>
      <c r="G1" s="117"/>
    </row>
    <row r="2" spans="1:7" ht="31.5" customHeight="1" x14ac:dyDescent="0.25">
      <c r="A2" s="117"/>
      <c r="B2" s="124" t="s">
        <v>0</v>
      </c>
      <c r="C2" s="124"/>
      <c r="D2" s="117"/>
      <c r="E2" s="117"/>
      <c r="F2" s="117"/>
      <c r="G2" s="117"/>
    </row>
    <row r="3" spans="1:7" ht="27.75" customHeight="1" x14ac:dyDescent="0.25">
      <c r="A3" s="117"/>
      <c r="B3" s="124"/>
      <c r="C3" s="124"/>
      <c r="D3" s="117"/>
      <c r="E3" s="117"/>
      <c r="F3" s="117"/>
      <c r="G3" s="117"/>
    </row>
    <row r="4" spans="1:7" ht="18" customHeight="1" x14ac:dyDescent="0.25">
      <c r="A4" s="118"/>
      <c r="B4" s="125" t="s">
        <v>1</v>
      </c>
      <c r="C4" s="125"/>
      <c r="D4" s="118"/>
      <c r="E4" s="118"/>
      <c r="F4" s="118"/>
      <c r="G4" s="118"/>
    </row>
    <row r="5" spans="1:7" ht="18" customHeight="1" x14ac:dyDescent="0.25">
      <c r="A5" s="118"/>
      <c r="B5" s="125"/>
      <c r="C5" s="125"/>
      <c r="D5" s="118"/>
      <c r="E5" s="118"/>
      <c r="F5" s="118"/>
      <c r="G5" s="118"/>
    </row>
    <row r="6" spans="1:7" ht="18" customHeight="1" x14ac:dyDescent="0.25">
      <c r="A6" s="117"/>
      <c r="B6" s="117"/>
      <c r="C6" s="117"/>
      <c r="D6" s="117"/>
      <c r="E6" s="117"/>
      <c r="F6" s="117"/>
      <c r="G6" s="117"/>
    </row>
    <row r="7" spans="1:7" ht="7.5" customHeight="1" x14ac:dyDescent="0.25">
      <c r="A7" s="117"/>
      <c r="B7" s="117"/>
      <c r="C7" s="117"/>
      <c r="D7" s="117"/>
      <c r="E7" s="117"/>
      <c r="F7" s="117"/>
      <c r="G7" s="117"/>
    </row>
    <row r="8" spans="1:7" ht="31.5" customHeight="1" x14ac:dyDescent="0.25">
      <c r="A8" s="117"/>
      <c r="B8" s="126" t="s">
        <v>2</v>
      </c>
      <c r="C8" s="126"/>
      <c r="D8" s="117"/>
      <c r="E8" s="117"/>
      <c r="F8" s="117"/>
      <c r="G8" s="117"/>
    </row>
    <row r="9" spans="1:7" ht="27.75" customHeight="1" x14ac:dyDescent="0.25">
      <c r="A9" s="117"/>
      <c r="B9" s="126"/>
      <c r="C9" s="126"/>
      <c r="D9" s="117"/>
      <c r="E9" s="117"/>
      <c r="F9" s="117"/>
      <c r="G9" s="117"/>
    </row>
    <row r="10" spans="1:7" ht="21.75" customHeight="1" x14ac:dyDescent="0.25">
      <c r="A10" s="117"/>
      <c r="B10" s="127" t="s">
        <v>3</v>
      </c>
      <c r="C10" s="127"/>
      <c r="D10" s="117"/>
      <c r="E10" s="117"/>
      <c r="F10" s="117"/>
      <c r="G10" s="117"/>
    </row>
    <row r="11" spans="1:7" ht="18" customHeight="1" x14ac:dyDescent="0.25">
      <c r="A11" s="117"/>
      <c r="B11" s="128" t="s">
        <v>4</v>
      </c>
      <c r="C11" s="128"/>
      <c r="D11" s="117"/>
      <c r="E11" s="117"/>
      <c r="F11" s="117"/>
      <c r="G11" s="117"/>
    </row>
    <row r="12" spans="1:7" ht="18" customHeight="1" x14ac:dyDescent="0.25">
      <c r="A12" s="117"/>
      <c r="B12" s="117"/>
      <c r="C12" s="117"/>
      <c r="D12" s="117"/>
      <c r="E12" s="117"/>
      <c r="F12" s="117"/>
      <c r="G12" s="117"/>
    </row>
    <row r="13" spans="1:7" ht="3" customHeight="1" x14ac:dyDescent="0.25">
      <c r="A13" s="105"/>
      <c r="B13" s="107"/>
      <c r="C13" s="107"/>
      <c r="D13" s="107"/>
      <c r="E13" s="105"/>
      <c r="F13" s="105"/>
      <c r="G13" s="105"/>
    </row>
    <row r="14" spans="1:7" ht="18" customHeight="1" x14ac:dyDescent="0.25">
      <c r="A14" s="105"/>
      <c r="B14" s="105"/>
      <c r="C14" s="105"/>
      <c r="D14" s="105"/>
      <c r="E14" s="105"/>
      <c r="F14" s="105"/>
      <c r="G14" s="105"/>
    </row>
    <row r="15" spans="1:7" ht="19.5" customHeight="1" x14ac:dyDescent="0.25">
      <c r="A15" s="105"/>
      <c r="B15" s="108" t="s">
        <v>5</v>
      </c>
      <c r="C15" s="109" t="s">
        <v>6</v>
      </c>
      <c r="D15" s="105"/>
      <c r="E15" s="105"/>
      <c r="F15" s="105"/>
      <c r="G15" s="105"/>
    </row>
    <row r="16" spans="1:7" ht="19.5" customHeight="1" x14ac:dyDescent="0.25">
      <c r="A16" s="105"/>
      <c r="B16" s="108" t="s">
        <v>7</v>
      </c>
      <c r="C16" s="109" t="s">
        <v>8</v>
      </c>
      <c r="D16" s="105"/>
      <c r="E16" s="105"/>
      <c r="F16" s="105"/>
      <c r="G16" s="105"/>
    </row>
    <row r="17" spans="1:7" ht="19.5" customHeight="1" x14ac:dyDescent="0.25">
      <c r="A17" s="105"/>
      <c r="B17" s="108" t="s">
        <v>9</v>
      </c>
      <c r="C17" s="109" t="s">
        <v>10</v>
      </c>
      <c r="D17" s="105"/>
      <c r="E17" s="105"/>
      <c r="F17" s="105"/>
      <c r="G17" s="105"/>
    </row>
    <row r="18" spans="1:7" ht="19.5" customHeight="1" x14ac:dyDescent="0.25">
      <c r="A18" s="105"/>
      <c r="B18" s="108" t="s">
        <v>11</v>
      </c>
      <c r="C18" s="109" t="s">
        <v>12</v>
      </c>
      <c r="D18" s="105"/>
      <c r="E18" s="105"/>
      <c r="F18" s="105"/>
      <c r="G18" s="105"/>
    </row>
    <row r="19" spans="1:7" ht="19.5" customHeight="1" x14ac:dyDescent="0.25">
      <c r="A19" s="105"/>
      <c r="B19" s="108" t="s">
        <v>13</v>
      </c>
      <c r="C19" s="109" t="s">
        <v>14</v>
      </c>
      <c r="D19" s="105"/>
      <c r="E19" s="105"/>
      <c r="F19" s="105"/>
      <c r="G19" s="105"/>
    </row>
    <row r="20" spans="1:7" ht="18" customHeight="1" x14ac:dyDescent="0.25">
      <c r="A20" s="105"/>
      <c r="B20" s="105"/>
      <c r="C20" s="105"/>
      <c r="D20" s="105"/>
      <c r="E20" s="105"/>
      <c r="F20" s="105"/>
      <c r="G20" s="105"/>
    </row>
    <row r="21" spans="1:7" ht="7.5" customHeight="1" x14ac:dyDescent="0.25">
      <c r="A21" s="105"/>
      <c r="B21" s="105"/>
      <c r="C21" s="105"/>
      <c r="D21" s="105"/>
      <c r="E21" s="105"/>
      <c r="F21" s="105"/>
      <c r="G21" s="105"/>
    </row>
    <row r="22" spans="1:7" ht="21.75" customHeight="1" x14ac:dyDescent="0.25">
      <c r="A22" s="105"/>
      <c r="B22" s="122" t="s">
        <v>15</v>
      </c>
      <c r="C22" s="122"/>
      <c r="D22" s="105"/>
      <c r="E22" s="105"/>
      <c r="F22" s="105"/>
      <c r="G22" s="105"/>
    </row>
    <row r="23" spans="1:7" ht="18.75" customHeight="1" x14ac:dyDescent="0.25">
      <c r="A23" s="105"/>
      <c r="B23" s="110" t="s">
        <v>16</v>
      </c>
      <c r="C23" s="111" t="s">
        <v>17</v>
      </c>
      <c r="D23" s="105"/>
      <c r="E23" s="105"/>
      <c r="F23" s="105"/>
      <c r="G23" s="105"/>
    </row>
    <row r="24" spans="1:7" ht="18.75" customHeight="1" x14ac:dyDescent="0.25">
      <c r="A24" s="105"/>
      <c r="B24" s="110" t="s">
        <v>18</v>
      </c>
      <c r="C24" s="111" t="s">
        <v>19</v>
      </c>
      <c r="D24" s="105"/>
      <c r="E24" s="105"/>
      <c r="F24" s="105"/>
      <c r="G24" s="105"/>
    </row>
    <row r="25" spans="1:7" ht="18.75" customHeight="1" x14ac:dyDescent="0.25">
      <c r="A25" s="105"/>
      <c r="B25" s="110" t="s">
        <v>20</v>
      </c>
      <c r="C25" s="111" t="s">
        <v>21</v>
      </c>
      <c r="D25" s="105"/>
      <c r="E25" s="105"/>
      <c r="F25" s="105"/>
      <c r="G25" s="105"/>
    </row>
    <row r="26" spans="1:7" ht="18.75" customHeight="1" x14ac:dyDescent="0.25">
      <c r="A26" s="105"/>
      <c r="B26" s="110" t="s">
        <v>22</v>
      </c>
      <c r="C26" s="111" t="s">
        <v>23</v>
      </c>
      <c r="D26" s="105"/>
      <c r="E26" s="105"/>
      <c r="F26" s="105"/>
      <c r="G26" s="105"/>
    </row>
    <row r="27" spans="1:7" ht="18.75" customHeight="1" x14ac:dyDescent="0.25">
      <c r="A27" s="105"/>
      <c r="B27" s="110" t="s">
        <v>24</v>
      </c>
      <c r="C27" s="111" t="s">
        <v>25</v>
      </c>
      <c r="D27" s="105"/>
      <c r="E27" s="105"/>
      <c r="F27" s="105"/>
      <c r="G27" s="105"/>
    </row>
    <row r="28" spans="1:7" ht="32.25" customHeight="1" x14ac:dyDescent="0.25">
      <c r="A28" s="105"/>
      <c r="B28" s="110" t="s">
        <v>26</v>
      </c>
      <c r="C28" s="111" t="s">
        <v>27</v>
      </c>
      <c r="D28" s="105"/>
      <c r="E28" s="105"/>
      <c r="F28" s="105"/>
      <c r="G28" s="105"/>
    </row>
    <row r="29" spans="1:7" ht="30" customHeight="1" x14ac:dyDescent="0.25">
      <c r="A29" s="105"/>
      <c r="B29" s="110" t="s">
        <v>28</v>
      </c>
      <c r="C29" s="111" t="s">
        <v>29</v>
      </c>
      <c r="D29" s="105"/>
      <c r="E29" s="105"/>
      <c r="F29" s="105"/>
      <c r="G29" s="105"/>
    </row>
    <row r="30" spans="1:7" ht="18.75" customHeight="1" x14ac:dyDescent="0.25">
      <c r="A30" s="105"/>
      <c r="B30" s="110" t="s">
        <v>20</v>
      </c>
      <c r="C30" s="111" t="s">
        <v>30</v>
      </c>
      <c r="D30" s="105"/>
      <c r="E30" s="105"/>
      <c r="F30" s="105"/>
      <c r="G30" s="105"/>
    </row>
    <row r="31" spans="1:7" ht="18" customHeight="1" x14ac:dyDescent="0.25">
      <c r="A31" s="105"/>
      <c r="B31" s="105"/>
      <c r="C31" s="105"/>
      <c r="D31" s="105"/>
      <c r="E31" s="105"/>
      <c r="F31" s="105"/>
      <c r="G31" s="105"/>
    </row>
    <row r="32" spans="1:7" ht="7.5" customHeight="1" x14ac:dyDescent="0.25">
      <c r="A32" s="105"/>
      <c r="B32" s="105"/>
      <c r="C32" s="105"/>
      <c r="D32" s="105"/>
      <c r="E32" s="105"/>
      <c r="F32" s="105"/>
      <c r="G32" s="105"/>
    </row>
    <row r="33" spans="1:7" ht="19.5" customHeight="1" x14ac:dyDescent="0.25">
      <c r="A33" s="105"/>
      <c r="B33" s="123" t="s">
        <v>31</v>
      </c>
      <c r="C33" s="123"/>
      <c r="D33" s="105"/>
      <c r="E33" s="105"/>
      <c r="F33" s="105"/>
      <c r="G33" s="105"/>
    </row>
    <row r="34" spans="1:7" ht="18" customHeight="1" x14ac:dyDescent="0.25">
      <c r="A34" s="105"/>
      <c r="B34" s="112"/>
      <c r="C34" s="119" t="s">
        <v>32</v>
      </c>
      <c r="D34" s="119"/>
      <c r="E34" s="105"/>
      <c r="F34" s="105"/>
      <c r="G34" s="105"/>
    </row>
    <row r="35" spans="1:7" ht="18" customHeight="1" x14ac:dyDescent="0.25">
      <c r="A35" s="105"/>
      <c r="B35" s="113"/>
      <c r="C35" s="119" t="s">
        <v>33</v>
      </c>
      <c r="D35" s="119"/>
      <c r="E35" s="105"/>
      <c r="F35" s="105"/>
      <c r="G35" s="105"/>
    </row>
    <row r="36" spans="1:7" ht="18" customHeight="1" x14ac:dyDescent="0.25">
      <c r="A36" s="105"/>
      <c r="B36" s="114"/>
      <c r="C36" s="119" t="s">
        <v>34</v>
      </c>
      <c r="D36" s="119"/>
      <c r="E36" s="105"/>
      <c r="F36" s="105"/>
      <c r="G36" s="105"/>
    </row>
    <row r="37" spans="1:7" ht="18" customHeight="1" x14ac:dyDescent="0.25">
      <c r="A37" s="105"/>
      <c r="B37" s="115"/>
      <c r="C37" s="119" t="s">
        <v>35</v>
      </c>
      <c r="D37" s="119"/>
      <c r="E37" s="105"/>
      <c r="F37" s="105"/>
      <c r="G37" s="105"/>
    </row>
    <row r="38" spans="1:7" ht="18" customHeight="1" x14ac:dyDescent="0.25">
      <c r="A38" s="105"/>
      <c r="B38" s="105"/>
      <c r="C38" s="105"/>
      <c r="D38" s="105"/>
      <c r="E38" s="105"/>
      <c r="F38" s="105"/>
      <c r="G38" s="105"/>
    </row>
    <row r="39" spans="1:7" x14ac:dyDescent="0.25">
      <c r="A39" s="105"/>
      <c r="B39" s="121" t="s">
        <v>36</v>
      </c>
      <c r="C39" s="121"/>
      <c r="D39" s="105"/>
      <c r="E39" s="105"/>
      <c r="F39" s="105"/>
      <c r="G39" s="105"/>
    </row>
    <row r="40" spans="1:7" ht="27" customHeight="1" x14ac:dyDescent="0.25">
      <c r="A40" s="105"/>
      <c r="B40" s="116" t="s">
        <v>37</v>
      </c>
      <c r="C40" s="119" t="s">
        <v>38</v>
      </c>
      <c r="D40" s="119"/>
      <c r="E40" s="105"/>
      <c r="F40" s="105"/>
      <c r="G40" s="105"/>
    </row>
    <row r="41" spans="1:7" ht="27" customHeight="1" x14ac:dyDescent="0.25">
      <c r="A41" s="105"/>
      <c r="B41" s="116" t="s">
        <v>37</v>
      </c>
      <c r="C41" s="119" t="s">
        <v>39</v>
      </c>
      <c r="D41" s="119"/>
      <c r="E41" s="105"/>
      <c r="F41" s="105"/>
      <c r="G41" s="105"/>
    </row>
    <row r="42" spans="1:7" ht="27" customHeight="1" x14ac:dyDescent="0.25">
      <c r="A42" s="105"/>
      <c r="B42" s="116" t="s">
        <v>37</v>
      </c>
      <c r="C42" s="119" t="s">
        <v>40</v>
      </c>
      <c r="D42" s="119"/>
      <c r="E42" s="105"/>
      <c r="F42" s="105"/>
      <c r="G42" s="105"/>
    </row>
    <row r="43" spans="1:7" ht="27" customHeight="1" x14ac:dyDescent="0.25">
      <c r="A43" s="105"/>
      <c r="B43" s="116" t="s">
        <v>37</v>
      </c>
      <c r="C43" s="119" t="s">
        <v>41</v>
      </c>
      <c r="D43" s="119"/>
      <c r="E43" s="105"/>
      <c r="F43" s="105"/>
      <c r="G43" s="105"/>
    </row>
    <row r="44" spans="1:7" ht="27" customHeight="1" x14ac:dyDescent="0.25">
      <c r="A44" s="105"/>
      <c r="B44" s="116" t="s">
        <v>37</v>
      </c>
      <c r="C44" s="119" t="s">
        <v>42</v>
      </c>
      <c r="D44" s="119"/>
      <c r="E44" s="105"/>
      <c r="F44" s="105"/>
      <c r="G44" s="105"/>
    </row>
    <row r="45" spans="1:7" ht="27" customHeight="1" x14ac:dyDescent="0.25">
      <c r="A45" s="105"/>
      <c r="B45" s="116" t="s">
        <v>37</v>
      </c>
      <c r="C45" s="119" t="s">
        <v>43</v>
      </c>
      <c r="D45" s="119"/>
      <c r="E45" s="105"/>
      <c r="F45" s="105"/>
      <c r="G45" s="105"/>
    </row>
    <row r="46" spans="1:7" x14ac:dyDescent="0.25">
      <c r="A46" s="105"/>
      <c r="B46" s="105"/>
      <c r="C46" s="105"/>
      <c r="D46" s="105"/>
      <c r="E46" s="105"/>
      <c r="F46" s="105"/>
      <c r="G46" s="105"/>
    </row>
    <row r="47" spans="1:7" ht="18" customHeight="1" x14ac:dyDescent="0.25">
      <c r="A47" s="105"/>
      <c r="B47" s="105"/>
      <c r="C47" s="105"/>
      <c r="D47" s="105"/>
      <c r="E47" s="105"/>
      <c r="F47" s="105"/>
      <c r="G47" s="105"/>
    </row>
    <row r="48" spans="1:7" ht="18" customHeight="1" x14ac:dyDescent="0.25">
      <c r="A48" s="105"/>
      <c r="B48" s="105"/>
      <c r="C48" s="105"/>
      <c r="D48" s="105"/>
      <c r="E48" s="105"/>
      <c r="F48" s="105"/>
      <c r="G48" s="105"/>
    </row>
    <row r="49" spans="1:7" ht="18" customHeight="1" x14ac:dyDescent="0.25">
      <c r="A49" s="105"/>
      <c r="B49" s="105"/>
      <c r="C49" s="105"/>
      <c r="D49" s="105"/>
      <c r="E49" s="105"/>
      <c r="F49" s="105"/>
      <c r="G49" s="105"/>
    </row>
    <row r="50" spans="1:7" ht="18" customHeight="1" x14ac:dyDescent="0.25">
      <c r="A50" s="105"/>
      <c r="B50" s="105"/>
      <c r="C50" s="105"/>
      <c r="D50" s="105"/>
      <c r="E50" s="105"/>
      <c r="F50" s="105"/>
      <c r="G50" s="105"/>
    </row>
    <row r="51" spans="1:7" ht="18" customHeight="1" x14ac:dyDescent="0.25">
      <c r="A51" s="105"/>
      <c r="B51" s="105"/>
      <c r="C51" s="105"/>
      <c r="D51" s="105"/>
      <c r="E51" s="105"/>
      <c r="F51" s="105"/>
      <c r="G51" s="105"/>
    </row>
    <row r="52" spans="1:7" ht="18" customHeight="1" x14ac:dyDescent="0.25">
      <c r="A52" s="105"/>
      <c r="B52" s="105"/>
      <c r="C52" s="105"/>
      <c r="D52" s="105"/>
      <c r="E52" s="105"/>
      <c r="F52" s="105"/>
      <c r="G52" s="105"/>
    </row>
    <row r="53" spans="1:7" ht="18" customHeight="1" x14ac:dyDescent="0.25">
      <c r="A53" s="105"/>
      <c r="B53" s="105"/>
      <c r="C53" s="105"/>
      <c r="D53" s="105"/>
      <c r="E53" s="105"/>
      <c r="F53" s="105"/>
      <c r="G53" s="105"/>
    </row>
    <row r="54" spans="1:7" ht="18" customHeight="1" x14ac:dyDescent="0.25">
      <c r="A54" s="105"/>
      <c r="B54" s="105"/>
      <c r="C54" s="105"/>
      <c r="D54" s="105"/>
      <c r="E54" s="105"/>
      <c r="F54" s="105"/>
      <c r="G54" s="105"/>
    </row>
    <row r="55" spans="1:7" ht="18" customHeight="1" x14ac:dyDescent="0.25">
      <c r="A55" s="105"/>
      <c r="B55" s="105"/>
      <c r="C55" s="105"/>
      <c r="D55" s="105"/>
      <c r="E55" s="105"/>
      <c r="F55" s="105"/>
      <c r="G55" s="105"/>
    </row>
    <row r="56" spans="1:7" ht="18" customHeight="1" x14ac:dyDescent="0.25">
      <c r="A56" s="105"/>
      <c r="B56" s="105"/>
      <c r="C56" s="105"/>
      <c r="D56" s="105"/>
      <c r="E56" s="105"/>
      <c r="F56" s="105"/>
      <c r="G56" s="105"/>
    </row>
    <row r="57" spans="1:7" ht="18" customHeight="1" x14ac:dyDescent="0.25">
      <c r="A57" s="105"/>
      <c r="B57" s="105"/>
      <c r="C57" s="105"/>
      <c r="D57" s="105"/>
      <c r="E57" s="105"/>
      <c r="F57" s="105"/>
      <c r="G57" s="105"/>
    </row>
    <row r="58" spans="1:7" ht="15.75" customHeight="1" x14ac:dyDescent="0.25">
      <c r="A58" s="105"/>
      <c r="B58" s="120" t="s">
        <v>44</v>
      </c>
      <c r="C58" s="120"/>
      <c r="D58" s="105"/>
      <c r="E58" s="105"/>
      <c r="F58" s="105"/>
      <c r="G58" s="105"/>
    </row>
    <row r="59" spans="1:7" ht="18" customHeight="1" x14ac:dyDescent="0.25">
      <c r="A59" s="105"/>
      <c r="B59" s="105"/>
      <c r="C59" s="105"/>
      <c r="D59" s="105"/>
      <c r="E59" s="105"/>
      <c r="F59" s="105"/>
      <c r="G59" s="105"/>
    </row>
  </sheetData>
  <sheetProtection algorithmName="SHA-512" hashValue="MiowSqOqwNG7VIqrbDxGzOUgBNhvrHNS2MW38OyT7/2JQ1kvbGfnhT2TtIl3frSuQMvaIITXSD7OxMfFVEtrMQ==" saltValue="T6wlnK49f03kQQuouSkj0w==" spinCount="100000" sheet="1" objects="1" scenarios="1"/>
  <mergeCells count="19">
    <mergeCell ref="B2:C3"/>
    <mergeCell ref="B4:C5"/>
    <mergeCell ref="B8:C9"/>
    <mergeCell ref="B10:C10"/>
    <mergeCell ref="B11:C11"/>
    <mergeCell ref="B22:C22"/>
    <mergeCell ref="B33:C33"/>
    <mergeCell ref="C34:D34"/>
    <mergeCell ref="C35:D35"/>
    <mergeCell ref="C36:D36"/>
    <mergeCell ref="C43:D43"/>
    <mergeCell ref="C44:D44"/>
    <mergeCell ref="C45:D45"/>
    <mergeCell ref="B58:C58"/>
    <mergeCell ref="C37:D37"/>
    <mergeCell ref="B39:C39"/>
    <mergeCell ref="C40:D40"/>
    <mergeCell ref="C41:D41"/>
    <mergeCell ref="C42:D4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86C1"/>
  </sheetPr>
  <dimension ref="A1:B44"/>
  <sheetViews>
    <sheetView topLeftCell="A31" zoomScaleNormal="100" workbookViewId="0">
      <selection sqref="A1:XFD1048576"/>
    </sheetView>
  </sheetViews>
  <sheetFormatPr defaultColWidth="8.7109375" defaultRowHeight="15" x14ac:dyDescent="0.25"/>
  <cols>
    <col min="1" max="1" width="6" style="1" customWidth="1"/>
    <col min="2" max="2" width="92" style="1" customWidth="1"/>
    <col min="3" max="16384" width="8.7109375" style="1"/>
  </cols>
  <sheetData>
    <row r="1" spans="1:2" ht="30" customHeight="1" x14ac:dyDescent="0.25">
      <c r="A1" s="133" t="s">
        <v>45</v>
      </c>
      <c r="B1" s="133"/>
    </row>
    <row r="3" spans="1:2" ht="19.5" customHeight="1" x14ac:dyDescent="0.25">
      <c r="A3" s="130" t="s">
        <v>46</v>
      </c>
      <c r="B3" s="130"/>
    </row>
    <row r="4" spans="1:2" ht="19.5" customHeight="1" x14ac:dyDescent="0.25">
      <c r="A4" s="132" t="s">
        <v>47</v>
      </c>
      <c r="B4" s="132"/>
    </row>
    <row r="5" spans="1:2" ht="36" customHeight="1" x14ac:dyDescent="0.25">
      <c r="A5" s="129" t="s">
        <v>48</v>
      </c>
      <c r="B5" s="129"/>
    </row>
    <row r="6" spans="1:2" ht="19.5" customHeight="1" x14ac:dyDescent="0.25">
      <c r="A6" s="132" t="s">
        <v>49</v>
      </c>
      <c r="B6" s="132"/>
    </row>
    <row r="7" spans="1:2" ht="36" customHeight="1" x14ac:dyDescent="0.25">
      <c r="A7" s="129" t="s">
        <v>50</v>
      </c>
      <c r="B7" s="129"/>
    </row>
    <row r="8" spans="1:2" ht="19.5" customHeight="1" x14ac:dyDescent="0.25">
      <c r="A8" s="132" t="s">
        <v>51</v>
      </c>
      <c r="B8" s="132"/>
    </row>
    <row r="9" spans="1:2" ht="36" customHeight="1" x14ac:dyDescent="0.25">
      <c r="A9" s="129" t="s">
        <v>52</v>
      </c>
      <c r="B9" s="129"/>
    </row>
    <row r="10" spans="1:2" ht="19.5" customHeight="1" x14ac:dyDescent="0.25">
      <c r="A10" s="132" t="s">
        <v>53</v>
      </c>
      <c r="B10" s="132"/>
    </row>
    <row r="11" spans="1:2" ht="36" customHeight="1" x14ac:dyDescent="0.25">
      <c r="A11" s="129" t="s">
        <v>54</v>
      </c>
      <c r="B11" s="129"/>
    </row>
    <row r="12" spans="1:2" ht="19.5" customHeight="1" x14ac:dyDescent="0.25">
      <c r="A12" s="132" t="s">
        <v>55</v>
      </c>
      <c r="B12" s="132"/>
    </row>
    <row r="13" spans="1:2" ht="36" customHeight="1" x14ac:dyDescent="0.25">
      <c r="A13" s="129" t="s">
        <v>56</v>
      </c>
      <c r="B13" s="129"/>
    </row>
    <row r="14" spans="1:2" ht="19.5" customHeight="1" x14ac:dyDescent="0.25">
      <c r="A14" s="132" t="s">
        <v>57</v>
      </c>
      <c r="B14" s="132"/>
    </row>
    <row r="15" spans="1:2" ht="36" customHeight="1" x14ac:dyDescent="0.25">
      <c r="A15" s="129" t="s">
        <v>58</v>
      </c>
      <c r="B15" s="129"/>
    </row>
    <row r="16" spans="1:2" ht="19.5" customHeight="1" x14ac:dyDescent="0.25">
      <c r="A16" s="2"/>
    </row>
    <row r="17" spans="1:2" ht="33.75" customHeight="1" x14ac:dyDescent="0.25">
      <c r="A17" s="3"/>
    </row>
    <row r="19" spans="1:2" ht="19.5" customHeight="1" x14ac:dyDescent="0.25">
      <c r="A19" s="130" t="s">
        <v>59</v>
      </c>
      <c r="B19" s="130"/>
    </row>
    <row r="20" spans="1:2" ht="33.75" customHeight="1" x14ac:dyDescent="0.25">
      <c r="A20" s="129" t="s">
        <v>60</v>
      </c>
      <c r="B20" s="129"/>
    </row>
    <row r="21" spans="1:2" ht="33.75" customHeight="1" x14ac:dyDescent="0.25">
      <c r="A21" s="129" t="s">
        <v>61</v>
      </c>
      <c r="B21" s="129"/>
    </row>
    <row r="22" spans="1:2" ht="33.75" customHeight="1" x14ac:dyDescent="0.25">
      <c r="A22" s="129" t="s">
        <v>62</v>
      </c>
      <c r="B22" s="129"/>
    </row>
    <row r="23" spans="1:2" ht="33.75" customHeight="1" x14ac:dyDescent="0.25">
      <c r="A23" s="129" t="s">
        <v>63</v>
      </c>
      <c r="B23" s="129"/>
    </row>
    <row r="24" spans="1:2" ht="33.75" customHeight="1" x14ac:dyDescent="0.25">
      <c r="A24" s="129" t="s">
        <v>64</v>
      </c>
      <c r="B24" s="129"/>
    </row>
    <row r="25" spans="1:2" ht="33.75" customHeight="1" x14ac:dyDescent="0.25">
      <c r="A25" s="129" t="s">
        <v>65</v>
      </c>
      <c r="B25" s="129"/>
    </row>
    <row r="27" spans="1:2" ht="19.5" customHeight="1" x14ac:dyDescent="0.25">
      <c r="A27" s="130" t="s">
        <v>66</v>
      </c>
      <c r="B27" s="130"/>
    </row>
    <row r="28" spans="1:2" ht="33.75" customHeight="1" x14ac:dyDescent="0.25">
      <c r="A28" s="129" t="s">
        <v>67</v>
      </c>
      <c r="B28" s="129"/>
    </row>
    <row r="30" spans="1:2" ht="19.5" customHeight="1" x14ac:dyDescent="0.25">
      <c r="A30" s="130" t="s">
        <v>68</v>
      </c>
      <c r="B30" s="130"/>
    </row>
    <row r="31" spans="1:2" ht="33.75" customHeight="1" x14ac:dyDescent="0.25">
      <c r="A31" s="129" t="s">
        <v>69</v>
      </c>
      <c r="B31" s="129"/>
    </row>
    <row r="32" spans="1:2" ht="33.75" customHeight="1" x14ac:dyDescent="0.25">
      <c r="A32" s="129" t="s">
        <v>70</v>
      </c>
      <c r="B32" s="129"/>
    </row>
    <row r="33" spans="1:2" ht="33.75" customHeight="1" x14ac:dyDescent="0.25">
      <c r="A33" s="129" t="s">
        <v>71</v>
      </c>
      <c r="B33" s="129"/>
    </row>
    <row r="34" spans="1:2" ht="33.75" customHeight="1" x14ac:dyDescent="0.25">
      <c r="A34" s="129" t="s">
        <v>72</v>
      </c>
      <c r="B34" s="129"/>
    </row>
    <row r="36" spans="1:2" ht="19.5" customHeight="1" x14ac:dyDescent="0.25">
      <c r="A36" s="130" t="s">
        <v>73</v>
      </c>
      <c r="B36" s="130"/>
    </row>
    <row r="37" spans="1:2" ht="33.75" customHeight="1" x14ac:dyDescent="0.25">
      <c r="A37" s="129" t="s">
        <v>74</v>
      </c>
      <c r="B37" s="129"/>
    </row>
    <row r="38" spans="1:2" ht="33.75" customHeight="1" x14ac:dyDescent="0.25">
      <c r="A38" s="129" t="s">
        <v>75</v>
      </c>
      <c r="B38" s="129"/>
    </row>
    <row r="39" spans="1:2" ht="33.75" customHeight="1" x14ac:dyDescent="0.25">
      <c r="A39" s="129" t="s">
        <v>76</v>
      </c>
      <c r="B39" s="129"/>
    </row>
    <row r="41" spans="1:2" ht="19.5" customHeight="1" x14ac:dyDescent="0.25">
      <c r="A41" s="130" t="s">
        <v>77</v>
      </c>
      <c r="B41" s="130"/>
    </row>
    <row r="42" spans="1:2" ht="33.75" customHeight="1" x14ac:dyDescent="0.25">
      <c r="A42" s="129" t="s">
        <v>78</v>
      </c>
      <c r="B42" s="129"/>
    </row>
    <row r="44" spans="1:2" ht="15.75" customHeight="1" x14ac:dyDescent="0.25">
      <c r="A44" s="131" t="s">
        <v>79</v>
      </c>
      <c r="B44" s="131"/>
    </row>
  </sheetData>
  <mergeCells count="35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30:B30"/>
    <mergeCell ref="A31:B31"/>
    <mergeCell ref="A32:B32"/>
    <mergeCell ref="A33:B33"/>
    <mergeCell ref="A34:B34"/>
    <mergeCell ref="A36:B36"/>
    <mergeCell ref="A37:B37"/>
    <mergeCell ref="A38:B38"/>
    <mergeCell ref="A39:B39"/>
    <mergeCell ref="A41:B41"/>
    <mergeCell ref="A42:B42"/>
    <mergeCell ref="A44:B4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C3483"/>
  </sheetPr>
  <dimension ref="A1:C51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38" style="1" customWidth="1"/>
    <col min="2" max="2" width="22" style="1" customWidth="1"/>
    <col min="3" max="3" width="42" style="1" customWidth="1"/>
    <col min="4" max="16384" width="8.7109375" style="1"/>
  </cols>
  <sheetData>
    <row r="1" spans="1:3" ht="30" customHeight="1" x14ac:dyDescent="0.25">
      <c r="A1" s="133" t="s">
        <v>80</v>
      </c>
      <c r="B1" s="133"/>
      <c r="C1" s="133"/>
    </row>
    <row r="2" spans="1:3" ht="15" customHeight="1" x14ac:dyDescent="0.25">
      <c r="A2" s="136" t="s">
        <v>81</v>
      </c>
      <c r="B2" s="136"/>
      <c r="C2" s="136"/>
    </row>
    <row r="3" spans="1:3" ht="21.75" customHeight="1" x14ac:dyDescent="0.25">
      <c r="A3" s="137" t="s">
        <v>82</v>
      </c>
      <c r="B3" s="137"/>
      <c r="C3" s="137"/>
    </row>
    <row r="4" spans="1:3" ht="19.5" customHeight="1" x14ac:dyDescent="0.25">
      <c r="A4" s="4" t="s">
        <v>83</v>
      </c>
      <c r="B4" s="4" t="s">
        <v>84</v>
      </c>
      <c r="C4" s="4" t="s">
        <v>85</v>
      </c>
    </row>
    <row r="5" spans="1:3" ht="15" customHeight="1" x14ac:dyDescent="0.25">
      <c r="A5" s="5" t="s">
        <v>86</v>
      </c>
      <c r="B5" s="6" t="s">
        <v>87</v>
      </c>
      <c r="C5" s="7" t="s">
        <v>88</v>
      </c>
    </row>
    <row r="6" spans="1:3" ht="15" customHeight="1" x14ac:dyDescent="0.25">
      <c r="A6" s="5" t="s">
        <v>89</v>
      </c>
      <c r="B6" s="6" t="s">
        <v>90</v>
      </c>
      <c r="C6" s="7" t="s">
        <v>91</v>
      </c>
    </row>
    <row r="7" spans="1:3" ht="15" customHeight="1" x14ac:dyDescent="0.25">
      <c r="A7" s="5" t="s">
        <v>92</v>
      </c>
      <c r="B7" s="6" t="s">
        <v>93</v>
      </c>
      <c r="C7" s="7"/>
    </row>
    <row r="8" spans="1:3" ht="15" customHeight="1" x14ac:dyDescent="0.25">
      <c r="A8" s="5" t="s">
        <v>94</v>
      </c>
      <c r="B8" s="6" t="s">
        <v>95</v>
      </c>
      <c r="C8" s="7"/>
    </row>
    <row r="9" spans="1:3" ht="15" customHeight="1" x14ac:dyDescent="0.25">
      <c r="A9" s="5" t="s">
        <v>96</v>
      </c>
      <c r="B9" s="8">
        <v>5</v>
      </c>
      <c r="C9" s="7" t="s">
        <v>97</v>
      </c>
    </row>
    <row r="10" spans="1:3" ht="21.75" customHeight="1" x14ac:dyDescent="0.25">
      <c r="A10" s="5" t="s">
        <v>98</v>
      </c>
      <c r="B10" s="6" t="s">
        <v>99</v>
      </c>
      <c r="C10" s="7"/>
    </row>
    <row r="11" spans="1:3" ht="31.5" customHeight="1" x14ac:dyDescent="0.25">
      <c r="A11" s="5" t="s">
        <v>100</v>
      </c>
      <c r="B11" s="6" t="s">
        <v>101</v>
      </c>
      <c r="C11" s="7" t="s">
        <v>102</v>
      </c>
    </row>
    <row r="13" spans="1:3" ht="21.75" customHeight="1" x14ac:dyDescent="0.25">
      <c r="A13" s="134" t="s">
        <v>103</v>
      </c>
      <c r="B13" s="134"/>
      <c r="C13" s="134"/>
    </row>
    <row r="14" spans="1:3" ht="19.5" customHeight="1" x14ac:dyDescent="0.25">
      <c r="A14" s="4" t="s">
        <v>104</v>
      </c>
      <c r="B14" s="4" t="s">
        <v>84</v>
      </c>
      <c r="C14" s="4" t="s">
        <v>85</v>
      </c>
    </row>
    <row r="15" spans="1:3" ht="18.75" customHeight="1" x14ac:dyDescent="0.25">
      <c r="A15" s="5" t="s">
        <v>105</v>
      </c>
      <c r="B15" s="9">
        <v>2500000</v>
      </c>
      <c r="C15" s="7" t="s">
        <v>106</v>
      </c>
    </row>
    <row r="17" spans="1:3" ht="21.75" customHeight="1" x14ac:dyDescent="0.25">
      <c r="A17" s="138" t="s">
        <v>107</v>
      </c>
      <c r="B17" s="138"/>
      <c r="C17" s="138"/>
    </row>
    <row r="18" spans="1:3" ht="19.5" customHeight="1" x14ac:dyDescent="0.25">
      <c r="A18" s="4" t="s">
        <v>108</v>
      </c>
      <c r="B18" s="4" t="s">
        <v>109</v>
      </c>
      <c r="C18" s="4" t="s">
        <v>85</v>
      </c>
    </row>
    <row r="19" spans="1:3" ht="15" customHeight="1" x14ac:dyDescent="0.25">
      <c r="A19" s="5" t="s">
        <v>110</v>
      </c>
      <c r="B19" s="10">
        <v>0.25</v>
      </c>
      <c r="C19" s="7" t="s">
        <v>111</v>
      </c>
    </row>
    <row r="20" spans="1:3" ht="15" customHeight="1" x14ac:dyDescent="0.25">
      <c r="A20" s="5" t="s">
        <v>112</v>
      </c>
      <c r="B20" s="10">
        <v>0.2</v>
      </c>
      <c r="C20" s="7" t="s">
        <v>113</v>
      </c>
    </row>
    <row r="21" spans="1:3" ht="15" customHeight="1" x14ac:dyDescent="0.25">
      <c r="A21" s="5" t="s">
        <v>114</v>
      </c>
      <c r="B21" s="10">
        <v>0.2</v>
      </c>
      <c r="C21" s="7" t="s">
        <v>115</v>
      </c>
    </row>
    <row r="22" spans="1:3" ht="15" customHeight="1" x14ac:dyDescent="0.25">
      <c r="A22" s="5" t="s">
        <v>116</v>
      </c>
      <c r="B22" s="10">
        <v>0.15</v>
      </c>
      <c r="C22" s="7" t="s">
        <v>117</v>
      </c>
    </row>
    <row r="23" spans="1:3" ht="15" customHeight="1" x14ac:dyDescent="0.25">
      <c r="A23" s="5" t="s">
        <v>118</v>
      </c>
      <c r="B23" s="10">
        <v>0.12</v>
      </c>
      <c r="C23" s="7" t="s">
        <v>119</v>
      </c>
    </row>
    <row r="24" spans="1:3" ht="15" customHeight="1" x14ac:dyDescent="0.25">
      <c r="A24" s="5" t="s">
        <v>120</v>
      </c>
      <c r="B24" s="10">
        <v>0.08</v>
      </c>
      <c r="C24" s="7" t="s">
        <v>121</v>
      </c>
    </row>
    <row r="25" spans="1:3" ht="15" customHeight="1" x14ac:dyDescent="0.25">
      <c r="A25" s="11" t="s">
        <v>122</v>
      </c>
      <c r="B25" s="12">
        <f>SUM(B19:B24)</f>
        <v>1</v>
      </c>
      <c r="C25" s="13" t="s">
        <v>123</v>
      </c>
    </row>
    <row r="27" spans="1:3" ht="21.75" customHeight="1" x14ac:dyDescent="0.25">
      <c r="A27" s="132" t="s">
        <v>124</v>
      </c>
      <c r="B27" s="132"/>
      <c r="C27" s="132"/>
    </row>
    <row r="28" spans="1:3" ht="19.5" customHeight="1" x14ac:dyDescent="0.25">
      <c r="A28" s="4" t="s">
        <v>125</v>
      </c>
      <c r="B28" s="4" t="s">
        <v>126</v>
      </c>
      <c r="C28" s="4" t="s">
        <v>127</v>
      </c>
    </row>
    <row r="29" spans="1:3" ht="15" customHeight="1" x14ac:dyDescent="0.25">
      <c r="A29" s="5" t="s">
        <v>128</v>
      </c>
      <c r="B29" s="14" t="s">
        <v>129</v>
      </c>
      <c r="C29" s="7" t="s">
        <v>130</v>
      </c>
    </row>
    <row r="30" spans="1:3" ht="18.75" customHeight="1" x14ac:dyDescent="0.25">
      <c r="A30" s="5" t="s">
        <v>131</v>
      </c>
      <c r="B30" s="14" t="s">
        <v>132</v>
      </c>
      <c r="C30" s="7" t="s">
        <v>133</v>
      </c>
    </row>
    <row r="31" spans="1:3" ht="18.75" customHeight="1" x14ac:dyDescent="0.25">
      <c r="A31" s="5" t="s">
        <v>134</v>
      </c>
      <c r="B31" s="14" t="s">
        <v>135</v>
      </c>
      <c r="C31" s="7" t="s">
        <v>136</v>
      </c>
    </row>
    <row r="33" spans="1:3" ht="21.75" customHeight="1" x14ac:dyDescent="0.25">
      <c r="A33" s="134" t="s">
        <v>137</v>
      </c>
      <c r="B33" s="134"/>
      <c r="C33" s="134"/>
    </row>
    <row r="34" spans="1:3" ht="19.5" customHeight="1" x14ac:dyDescent="0.25">
      <c r="A34" s="4" t="s">
        <v>138</v>
      </c>
      <c r="B34" s="4" t="s">
        <v>139</v>
      </c>
      <c r="C34" s="4" t="s">
        <v>85</v>
      </c>
    </row>
    <row r="35" spans="1:3" ht="15" customHeight="1" x14ac:dyDescent="0.25">
      <c r="A35" s="5" t="s">
        <v>140</v>
      </c>
      <c r="B35" s="14" t="s">
        <v>141</v>
      </c>
      <c r="C35" s="7" t="s">
        <v>142</v>
      </c>
    </row>
    <row r="36" spans="1:3" ht="15" customHeight="1" x14ac:dyDescent="0.25">
      <c r="A36" s="5" t="s">
        <v>143</v>
      </c>
      <c r="B36" s="14" t="s">
        <v>144</v>
      </c>
      <c r="C36" s="7" t="s">
        <v>145</v>
      </c>
    </row>
    <row r="37" spans="1:3" ht="15" customHeight="1" x14ac:dyDescent="0.25">
      <c r="A37" s="5" t="s">
        <v>146</v>
      </c>
      <c r="B37" s="14" t="s">
        <v>147</v>
      </c>
      <c r="C37" s="7" t="s">
        <v>148</v>
      </c>
    </row>
    <row r="38" spans="1:3" ht="15" customHeight="1" x14ac:dyDescent="0.25">
      <c r="A38" s="5" t="s">
        <v>149</v>
      </c>
      <c r="B38" s="14" t="s">
        <v>150</v>
      </c>
      <c r="C38" s="7" t="s">
        <v>151</v>
      </c>
    </row>
    <row r="39" spans="1:3" ht="15" customHeight="1" x14ac:dyDescent="0.25">
      <c r="A39" s="5" t="s">
        <v>152</v>
      </c>
      <c r="B39" s="14" t="s">
        <v>153</v>
      </c>
      <c r="C39" s="7" t="s">
        <v>154</v>
      </c>
    </row>
    <row r="40" spans="1:3" ht="15" customHeight="1" x14ac:dyDescent="0.25">
      <c r="A40" s="5" t="s">
        <v>155</v>
      </c>
      <c r="B40" s="14" t="s">
        <v>156</v>
      </c>
      <c r="C40" s="7" t="s">
        <v>157</v>
      </c>
    </row>
    <row r="41" spans="1:3" ht="15" customHeight="1" x14ac:dyDescent="0.25">
      <c r="A41" s="5" t="s">
        <v>158</v>
      </c>
      <c r="B41" s="14" t="s">
        <v>159</v>
      </c>
      <c r="C41" s="7" t="s">
        <v>160</v>
      </c>
    </row>
    <row r="42" spans="1:3" ht="15" customHeight="1" x14ac:dyDescent="0.25">
      <c r="A42" s="5" t="s">
        <v>161</v>
      </c>
      <c r="B42" s="14" t="s">
        <v>162</v>
      </c>
      <c r="C42" s="7" t="s">
        <v>163</v>
      </c>
    </row>
    <row r="43" spans="1:3" ht="18.75" customHeight="1" x14ac:dyDescent="0.25">
      <c r="A43" s="5" t="s">
        <v>164</v>
      </c>
      <c r="B43" s="14" t="s">
        <v>165</v>
      </c>
      <c r="C43" s="7" t="s">
        <v>166</v>
      </c>
    </row>
    <row r="45" spans="1:3" ht="21.75" customHeight="1" x14ac:dyDescent="0.25">
      <c r="A45" s="132" t="s">
        <v>167</v>
      </c>
      <c r="B45" s="132"/>
      <c r="C45" s="132"/>
    </row>
    <row r="46" spans="1:3" ht="19.5" customHeight="1" x14ac:dyDescent="0.25">
      <c r="A46" s="4" t="s">
        <v>168</v>
      </c>
      <c r="B46" s="4" t="s">
        <v>169</v>
      </c>
      <c r="C46" s="4" t="s">
        <v>127</v>
      </c>
    </row>
    <row r="47" spans="1:3" ht="15" customHeight="1" x14ac:dyDescent="0.25">
      <c r="A47" s="5" t="s">
        <v>170</v>
      </c>
      <c r="B47" s="14" t="s">
        <v>171</v>
      </c>
      <c r="C47" s="7" t="s">
        <v>172</v>
      </c>
    </row>
    <row r="48" spans="1:3" ht="15" customHeight="1" x14ac:dyDescent="0.25">
      <c r="A48" s="5" t="s">
        <v>173</v>
      </c>
      <c r="B48" s="14" t="s">
        <v>174</v>
      </c>
      <c r="C48" s="7" t="s">
        <v>175</v>
      </c>
    </row>
    <row r="49" spans="1:3" ht="15" customHeight="1" x14ac:dyDescent="0.25">
      <c r="A49" s="5" t="s">
        <v>176</v>
      </c>
      <c r="B49" s="14" t="s">
        <v>177</v>
      </c>
      <c r="C49" s="7" t="s">
        <v>178</v>
      </c>
    </row>
    <row r="51" spans="1:3" ht="15" customHeight="1" x14ac:dyDescent="0.25">
      <c r="A51" s="135" t="s">
        <v>179</v>
      </c>
      <c r="B51" s="135"/>
      <c r="C51" s="135"/>
    </row>
  </sheetData>
  <mergeCells count="9">
    <mergeCell ref="A27:C27"/>
    <mergeCell ref="A33:C33"/>
    <mergeCell ref="A45:C45"/>
    <mergeCell ref="A51:C51"/>
    <mergeCell ref="A1:C1"/>
    <mergeCell ref="A2:C2"/>
    <mergeCell ref="A3:C3"/>
    <mergeCell ref="A13:C13"/>
    <mergeCell ref="A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17A65"/>
  </sheetPr>
  <dimension ref="A1:E2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ColWidth="8.7109375" defaultRowHeight="12.75" x14ac:dyDescent="0.2"/>
  <cols>
    <col min="1" max="1" width="32" style="22" customWidth="1"/>
    <col min="2" max="4" width="14" style="22" customWidth="1"/>
    <col min="5" max="16384" width="8.7109375" style="22"/>
  </cols>
  <sheetData>
    <row r="1" spans="1:5" ht="30" customHeight="1" x14ac:dyDescent="0.2">
      <c r="A1" s="139" t="s">
        <v>180</v>
      </c>
      <c r="B1" s="139"/>
      <c r="C1" s="139"/>
      <c r="D1" s="139"/>
      <c r="E1" s="139"/>
    </row>
    <row r="2" spans="1:5" ht="15" customHeight="1" x14ac:dyDescent="0.2">
      <c r="A2" s="140" t="s">
        <v>181</v>
      </c>
      <c r="B2" s="140"/>
      <c r="C2" s="140"/>
      <c r="D2" s="140"/>
      <c r="E2" s="140"/>
    </row>
    <row r="3" spans="1:5" ht="18" customHeight="1" x14ac:dyDescent="0.2">
      <c r="A3" s="23" t="s">
        <v>182</v>
      </c>
      <c r="B3" s="24" t="s">
        <v>184</v>
      </c>
      <c r="C3" s="24" t="s">
        <v>183</v>
      </c>
      <c r="D3" s="24" t="s">
        <v>185</v>
      </c>
    </row>
    <row r="4" spans="1:5" ht="15" customHeight="1" x14ac:dyDescent="0.2">
      <c r="A4" s="25" t="s">
        <v>186</v>
      </c>
      <c r="B4" s="26">
        <v>14200000</v>
      </c>
      <c r="C4" s="26">
        <v>15650000</v>
      </c>
      <c r="D4" s="26">
        <v>17480000</v>
      </c>
    </row>
    <row r="5" spans="1:5" ht="15" customHeight="1" x14ac:dyDescent="0.2">
      <c r="A5" s="25" t="s">
        <v>187</v>
      </c>
      <c r="B5" s="26">
        <v>9088000</v>
      </c>
      <c r="C5" s="26">
        <v>10123000</v>
      </c>
      <c r="D5" s="26">
        <v>11362000</v>
      </c>
    </row>
    <row r="6" spans="1:5" ht="15" customHeight="1" x14ac:dyDescent="0.2">
      <c r="A6" s="27" t="s">
        <v>188</v>
      </c>
      <c r="B6" s="28">
        <f>B4-B5</f>
        <v>5112000</v>
      </c>
      <c r="C6" s="28">
        <f>C4-C5</f>
        <v>5527000</v>
      </c>
      <c r="D6" s="28">
        <f>D4-D5</f>
        <v>6118000</v>
      </c>
    </row>
    <row r="7" spans="1:5" ht="15" customHeight="1" x14ac:dyDescent="0.2">
      <c r="A7" s="25" t="s">
        <v>189</v>
      </c>
      <c r="B7" s="26">
        <v>3550000</v>
      </c>
      <c r="C7" s="26">
        <v>3868000</v>
      </c>
      <c r="D7" s="26">
        <v>4232000</v>
      </c>
    </row>
    <row r="8" spans="1:5" ht="15" customHeight="1" x14ac:dyDescent="0.2">
      <c r="A8" s="18" t="s">
        <v>190</v>
      </c>
      <c r="B8" s="19">
        <f>B6-B7</f>
        <v>1562000</v>
      </c>
      <c r="C8" s="19">
        <f>C6-C7</f>
        <v>1659000</v>
      </c>
      <c r="D8" s="19">
        <f>D6-D7</f>
        <v>1886000</v>
      </c>
    </row>
    <row r="9" spans="1:5" ht="15" customHeight="1" x14ac:dyDescent="0.2">
      <c r="A9" s="29" t="s">
        <v>191</v>
      </c>
      <c r="B9" s="30">
        <f>IFERROR(B8/B4,0)</f>
        <v>0.11</v>
      </c>
      <c r="C9" s="30">
        <f>IFERROR(C8/C4,0)</f>
        <v>0.10600638977635783</v>
      </c>
      <c r="D9" s="30">
        <f>IFERROR(D8/D4,0)</f>
        <v>0.10789473684210527</v>
      </c>
    </row>
    <row r="10" spans="1:5" ht="15" customHeight="1" x14ac:dyDescent="0.2">
      <c r="A10" s="25" t="s">
        <v>192</v>
      </c>
      <c r="B10" s="26">
        <v>380000</v>
      </c>
      <c r="C10" s="26">
        <v>395000</v>
      </c>
      <c r="D10" s="26">
        <v>415000</v>
      </c>
    </row>
    <row r="11" spans="1:5" ht="15" customHeight="1" x14ac:dyDescent="0.2">
      <c r="A11" s="31" t="s">
        <v>193</v>
      </c>
      <c r="B11" s="32">
        <f>B8-B10</f>
        <v>1182000</v>
      </c>
      <c r="C11" s="32">
        <f>C8-C10</f>
        <v>1264000</v>
      </c>
      <c r="D11" s="32">
        <f>D8-D10</f>
        <v>1471000</v>
      </c>
    </row>
    <row r="12" spans="1:5" ht="15" customHeight="1" x14ac:dyDescent="0.2">
      <c r="A12" s="25" t="s">
        <v>194</v>
      </c>
      <c r="B12" s="26">
        <v>85000</v>
      </c>
      <c r="C12" s="26">
        <v>92000</v>
      </c>
      <c r="D12" s="26">
        <v>105000</v>
      </c>
    </row>
    <row r="13" spans="1:5" ht="15" customHeight="1" x14ac:dyDescent="0.2">
      <c r="A13" s="33" t="s">
        <v>195</v>
      </c>
      <c r="B13" s="34">
        <v>310000</v>
      </c>
      <c r="C13" s="34">
        <v>295000</v>
      </c>
      <c r="D13" s="34">
        <v>275000</v>
      </c>
    </row>
    <row r="14" spans="1:5" ht="15" customHeight="1" x14ac:dyDescent="0.2">
      <c r="A14" s="31" t="s">
        <v>196</v>
      </c>
      <c r="B14" s="32">
        <f>B11+B12-B13</f>
        <v>957000</v>
      </c>
      <c r="C14" s="32">
        <f>C11+C12-C13</f>
        <v>1061000</v>
      </c>
      <c r="D14" s="32">
        <f>D11+D12-D13</f>
        <v>1301000</v>
      </c>
    </row>
    <row r="15" spans="1:5" ht="15" customHeight="1" x14ac:dyDescent="0.2">
      <c r="A15" s="33" t="s">
        <v>197</v>
      </c>
      <c r="B15" s="26">
        <v>235000</v>
      </c>
      <c r="C15" s="26">
        <v>268000</v>
      </c>
      <c r="D15" s="26">
        <v>310000</v>
      </c>
    </row>
    <row r="16" spans="1:5" ht="15" customHeight="1" x14ac:dyDescent="0.2">
      <c r="A16" s="18" t="s">
        <v>198</v>
      </c>
      <c r="B16" s="19">
        <f>B14-B15</f>
        <v>722000</v>
      </c>
      <c r="C16" s="19">
        <f>C14-C15</f>
        <v>793000</v>
      </c>
      <c r="D16" s="19">
        <f>D14-D15</f>
        <v>991000</v>
      </c>
    </row>
    <row r="17" spans="1:5" ht="15" customHeight="1" x14ac:dyDescent="0.2">
      <c r="A17" s="29" t="s">
        <v>199</v>
      </c>
      <c r="B17" s="30">
        <f>IFERROR(B16/B4,0)</f>
        <v>5.0845070422535214E-2</v>
      </c>
      <c r="C17" s="30">
        <f>IFERROR(C16/C4,0)</f>
        <v>5.0670926517571886E-2</v>
      </c>
      <c r="D17" s="30">
        <f>IFERROR(D16/D4,0)</f>
        <v>5.6693363844393593E-2</v>
      </c>
    </row>
    <row r="18" spans="1:5" ht="15" customHeight="1" x14ac:dyDescent="0.2">
      <c r="A18" s="29" t="s">
        <v>200</v>
      </c>
      <c r="B18" s="35" t="s">
        <v>201</v>
      </c>
      <c r="C18" s="30">
        <f>IFERROR((C4-B4)/B4,0)</f>
        <v>0.10211267605633803</v>
      </c>
      <c r="D18" s="30">
        <f>IFERROR((D4-C4)/C4,0)</f>
        <v>0.11693290734824281</v>
      </c>
    </row>
    <row r="20" spans="1:5" ht="15" customHeight="1" x14ac:dyDescent="0.2">
      <c r="A20" s="140" t="s">
        <v>202</v>
      </c>
      <c r="B20" s="140"/>
      <c r="C20" s="140"/>
      <c r="D20" s="140"/>
      <c r="E20" s="140"/>
    </row>
  </sheetData>
  <mergeCells count="3">
    <mergeCell ref="A1:E1"/>
    <mergeCell ref="A2:E2"/>
    <mergeCell ref="A20:E20"/>
  </mergeCells>
  <pageMargins left="0.75" right="0.75" top="1" bottom="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C3483"/>
  </sheetPr>
  <dimension ref="A1:E28"/>
  <sheetViews>
    <sheetView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G9" sqref="G9"/>
    </sheetView>
  </sheetViews>
  <sheetFormatPr defaultColWidth="8.7109375" defaultRowHeight="12.75" x14ac:dyDescent="0.2"/>
  <cols>
    <col min="1" max="1" width="35.7109375" style="22" customWidth="1"/>
    <col min="2" max="4" width="14" style="22" customWidth="1"/>
    <col min="5" max="5" width="0.140625" style="22" customWidth="1"/>
    <col min="6" max="16384" width="8.7109375" style="22"/>
  </cols>
  <sheetData>
    <row r="1" spans="1:5" ht="30" customHeight="1" x14ac:dyDescent="0.2">
      <c r="A1" s="133" t="s">
        <v>203</v>
      </c>
      <c r="B1" s="133"/>
      <c r="C1" s="133"/>
      <c r="D1" s="133"/>
      <c r="E1" s="133"/>
    </row>
    <row r="2" spans="1:5" ht="32.25" customHeight="1" x14ac:dyDescent="0.2">
      <c r="A2" s="140" t="s">
        <v>204</v>
      </c>
      <c r="B2" s="140"/>
      <c r="C2" s="140"/>
      <c r="D2" s="140"/>
      <c r="E2" s="140"/>
    </row>
    <row r="3" spans="1:5" ht="18" customHeight="1" x14ac:dyDescent="0.2">
      <c r="A3" s="23" t="s">
        <v>182</v>
      </c>
      <c r="B3" s="24" t="s">
        <v>184</v>
      </c>
      <c r="C3" s="24" t="s">
        <v>183</v>
      </c>
      <c r="D3" s="24" t="s">
        <v>185</v>
      </c>
    </row>
    <row r="4" spans="1:5" ht="21.75" customHeight="1" x14ac:dyDescent="0.2">
      <c r="A4" s="137" t="s">
        <v>205</v>
      </c>
      <c r="B4" s="137"/>
      <c r="C4" s="137"/>
      <c r="D4" s="137"/>
      <c r="E4" s="137"/>
    </row>
    <row r="5" spans="1:5" ht="15" customHeight="1" x14ac:dyDescent="0.2">
      <c r="A5" s="25" t="s">
        <v>206</v>
      </c>
      <c r="B5" s="26">
        <v>3400000</v>
      </c>
      <c r="C5" s="26">
        <v>3550000</v>
      </c>
      <c r="D5" s="26">
        <v>3720000</v>
      </c>
    </row>
    <row r="6" spans="1:5" ht="21.75" customHeight="1" x14ac:dyDescent="0.2">
      <c r="A6" s="25" t="s">
        <v>207</v>
      </c>
      <c r="B6" s="26">
        <v>120000</v>
      </c>
      <c r="C6" s="26">
        <v>135000</v>
      </c>
      <c r="D6" s="26">
        <v>150000</v>
      </c>
    </row>
    <row r="7" spans="1:5" ht="15" customHeight="1" x14ac:dyDescent="0.2">
      <c r="A7" s="25" t="s">
        <v>208</v>
      </c>
      <c r="B7" s="26">
        <v>580000</v>
      </c>
      <c r="C7" s="26">
        <v>720000</v>
      </c>
      <c r="D7" s="26">
        <v>910000</v>
      </c>
    </row>
    <row r="8" spans="1:5" ht="15" customHeight="1" x14ac:dyDescent="0.2">
      <c r="A8" s="25" t="s">
        <v>209</v>
      </c>
      <c r="B8" s="26">
        <v>1750000</v>
      </c>
      <c r="C8" s="26">
        <v>1930000</v>
      </c>
      <c r="D8" s="26">
        <v>2155000</v>
      </c>
    </row>
    <row r="9" spans="1:5" ht="15" customHeight="1" x14ac:dyDescent="0.2">
      <c r="A9" s="25" t="s">
        <v>210</v>
      </c>
      <c r="B9" s="26">
        <v>1420000</v>
      </c>
      <c r="C9" s="26">
        <v>1580000</v>
      </c>
      <c r="D9" s="26">
        <v>1770000</v>
      </c>
    </row>
    <row r="10" spans="1:5" ht="15" customHeight="1" x14ac:dyDescent="0.2">
      <c r="A10" s="25" t="s">
        <v>211</v>
      </c>
      <c r="B10" s="26">
        <v>150000</v>
      </c>
      <c r="C10" s="26">
        <v>165000</v>
      </c>
      <c r="D10" s="26">
        <v>180000</v>
      </c>
    </row>
    <row r="11" spans="1:5" ht="15" customHeight="1" x14ac:dyDescent="0.2">
      <c r="A11" s="27" t="s">
        <v>212</v>
      </c>
      <c r="B11" s="28">
        <f>SUM(B7:B10)</f>
        <v>3900000</v>
      </c>
      <c r="C11" s="28">
        <f>SUM(C7:C10)</f>
        <v>4395000</v>
      </c>
      <c r="D11" s="28">
        <f>SUM(D7:D10)</f>
        <v>5015000</v>
      </c>
    </row>
    <row r="12" spans="1:5" ht="15" customHeight="1" x14ac:dyDescent="0.2">
      <c r="A12" s="36" t="s">
        <v>213</v>
      </c>
      <c r="B12" s="37">
        <f>B5+B6+B11</f>
        <v>7420000</v>
      </c>
      <c r="C12" s="37">
        <f>C5+C6+C11</f>
        <v>8080000</v>
      </c>
      <c r="D12" s="37">
        <f>D5+D6+D11</f>
        <v>8885000</v>
      </c>
    </row>
    <row r="14" spans="1:5" ht="21.75" customHeight="1" x14ac:dyDescent="0.2">
      <c r="A14" s="134" t="s">
        <v>214</v>
      </c>
      <c r="B14" s="134"/>
      <c r="C14" s="134"/>
      <c r="D14" s="134"/>
      <c r="E14" s="134"/>
    </row>
    <row r="15" spans="1:5" ht="15" customHeight="1" x14ac:dyDescent="0.2">
      <c r="A15" s="25" t="s">
        <v>215</v>
      </c>
      <c r="B15" s="26">
        <v>1200000</v>
      </c>
      <c r="C15" s="26">
        <v>1200000</v>
      </c>
      <c r="D15" s="26">
        <v>1200000</v>
      </c>
    </row>
    <row r="16" spans="1:5" ht="15" customHeight="1" x14ac:dyDescent="0.2">
      <c r="A16" s="25" t="s">
        <v>216</v>
      </c>
      <c r="B16" s="26">
        <v>2960000</v>
      </c>
      <c r="C16" s="26">
        <v>3668000</v>
      </c>
      <c r="D16" s="26">
        <v>4510000</v>
      </c>
    </row>
    <row r="17" spans="1:5" ht="15" customHeight="1" x14ac:dyDescent="0.2">
      <c r="A17" s="27" t="s">
        <v>217</v>
      </c>
      <c r="B17" s="28">
        <f>B15+B16</f>
        <v>4160000</v>
      </c>
      <c r="C17" s="28">
        <f>C15+C16</f>
        <v>4868000</v>
      </c>
      <c r="D17" s="28">
        <f>D15+D16</f>
        <v>5710000</v>
      </c>
    </row>
    <row r="18" spans="1:5" ht="15" customHeight="1" x14ac:dyDescent="0.2">
      <c r="A18" s="33" t="s">
        <v>218</v>
      </c>
      <c r="B18" s="34">
        <v>1650000</v>
      </c>
      <c r="C18" s="34">
        <v>1480000</v>
      </c>
      <c r="D18" s="34">
        <v>1290000</v>
      </c>
    </row>
    <row r="19" spans="1:5" ht="33.75" customHeight="1" x14ac:dyDescent="0.2">
      <c r="A19" s="33" t="s">
        <v>219</v>
      </c>
      <c r="B19" s="34">
        <v>80000</v>
      </c>
      <c r="C19" s="34">
        <v>92000</v>
      </c>
      <c r="D19" s="34">
        <v>108000</v>
      </c>
    </row>
    <row r="20" spans="1:5" ht="15" customHeight="1" x14ac:dyDescent="0.2">
      <c r="A20" s="40" t="s">
        <v>220</v>
      </c>
      <c r="B20" s="41">
        <v>1120000</v>
      </c>
      <c r="C20" s="41">
        <v>1245000</v>
      </c>
      <c r="D20" s="41">
        <v>1395000</v>
      </c>
    </row>
    <row r="21" spans="1:5" ht="15" customHeight="1" x14ac:dyDescent="0.2">
      <c r="A21" s="40" t="s">
        <v>221</v>
      </c>
      <c r="B21" s="41">
        <v>250000</v>
      </c>
      <c r="C21" s="41">
        <v>220000</v>
      </c>
      <c r="D21" s="41">
        <v>190000</v>
      </c>
    </row>
    <row r="22" spans="1:5" ht="15" customHeight="1" x14ac:dyDescent="0.2">
      <c r="A22" s="40" t="s">
        <v>222</v>
      </c>
      <c r="B22" s="41">
        <v>160000</v>
      </c>
      <c r="C22" s="41">
        <v>175000</v>
      </c>
      <c r="D22" s="41">
        <v>192000</v>
      </c>
    </row>
    <row r="23" spans="1:5" ht="15" customHeight="1" x14ac:dyDescent="0.2">
      <c r="A23" s="42" t="s">
        <v>223</v>
      </c>
      <c r="B23" s="43">
        <f>SUM(B20:B22)</f>
        <v>1530000</v>
      </c>
      <c r="C23" s="43">
        <f>SUM(C20:C22)</f>
        <v>1640000</v>
      </c>
      <c r="D23" s="43">
        <f>SUM(D20:D22)</f>
        <v>1777000</v>
      </c>
    </row>
    <row r="24" spans="1:5" ht="36" customHeight="1" x14ac:dyDescent="0.2">
      <c r="A24" s="42" t="s">
        <v>224</v>
      </c>
      <c r="B24" s="43">
        <f>B18+B21</f>
        <v>1900000</v>
      </c>
      <c r="C24" s="43">
        <f>C18+C21</f>
        <v>1700000</v>
      </c>
      <c r="D24" s="43">
        <f>D18+D21</f>
        <v>1480000</v>
      </c>
    </row>
    <row r="25" spans="1:5" ht="15" customHeight="1" x14ac:dyDescent="0.2">
      <c r="A25" s="38" t="s">
        <v>225</v>
      </c>
      <c r="B25" s="39">
        <f>B17+B18+B19+B23</f>
        <v>7420000</v>
      </c>
      <c r="C25" s="39">
        <f>C17+C18+C19+C23</f>
        <v>8080000</v>
      </c>
      <c r="D25" s="39">
        <f>D17+D18+D19+D23</f>
        <v>8885000</v>
      </c>
    </row>
    <row r="26" spans="1:5" ht="48" customHeight="1" x14ac:dyDescent="0.2">
      <c r="A26" s="44" t="s">
        <v>226</v>
      </c>
      <c r="B26" s="45">
        <f>B12-B25</f>
        <v>0</v>
      </c>
      <c r="C26" s="45">
        <f>C12-C25</f>
        <v>0</v>
      </c>
      <c r="D26" s="45">
        <f>D12-D25</f>
        <v>0</v>
      </c>
    </row>
    <row r="28" spans="1:5" ht="36.75" customHeight="1" x14ac:dyDescent="0.2">
      <c r="A28" s="140" t="s">
        <v>227</v>
      </c>
      <c r="B28" s="140"/>
      <c r="C28" s="140"/>
      <c r="D28" s="140"/>
      <c r="E28" s="140"/>
    </row>
  </sheetData>
  <mergeCells count="5">
    <mergeCell ref="A1:E1"/>
    <mergeCell ref="A2:E2"/>
    <mergeCell ref="A4:E4"/>
    <mergeCell ref="A14:E14"/>
    <mergeCell ref="A28:E28"/>
  </mergeCells>
  <pageMargins left="0.75" right="0.75" top="1" bottom="1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B4F72"/>
  </sheetPr>
  <dimension ref="A1:E2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ColWidth="8.7109375" defaultRowHeight="12.75" x14ac:dyDescent="0.2"/>
  <cols>
    <col min="1" max="1" width="52.5703125" style="22" customWidth="1"/>
    <col min="2" max="4" width="14" style="22" customWidth="1"/>
    <col min="5" max="5" width="8.7109375" style="47" hidden="1" customWidth="1"/>
    <col min="6" max="16384" width="8.7109375" style="22"/>
  </cols>
  <sheetData>
    <row r="1" spans="1:5" ht="30" customHeight="1" x14ac:dyDescent="0.2">
      <c r="A1" s="142" t="s">
        <v>228</v>
      </c>
      <c r="B1" s="142"/>
      <c r="C1" s="142"/>
      <c r="D1" s="142"/>
      <c r="E1" s="142"/>
    </row>
    <row r="2" spans="1:5" ht="28.5" customHeight="1" x14ac:dyDescent="0.2">
      <c r="A2" s="140" t="s">
        <v>229</v>
      </c>
      <c r="B2" s="140"/>
      <c r="C2" s="140"/>
      <c r="D2" s="140"/>
      <c r="E2" s="140"/>
    </row>
    <row r="3" spans="1:5" ht="18" customHeight="1" x14ac:dyDescent="0.2">
      <c r="A3" s="23" t="s">
        <v>182</v>
      </c>
      <c r="B3" s="24" t="s">
        <v>184</v>
      </c>
      <c r="C3" s="24" t="s">
        <v>183</v>
      </c>
      <c r="D3" s="24" t="s">
        <v>185</v>
      </c>
    </row>
    <row r="4" spans="1:5" ht="21.75" customHeight="1" x14ac:dyDescent="0.2">
      <c r="A4" s="137" t="s">
        <v>230</v>
      </c>
      <c r="B4" s="137"/>
      <c r="C4" s="137"/>
      <c r="D4" s="137"/>
      <c r="E4" s="137"/>
    </row>
    <row r="5" spans="1:5" ht="15" customHeight="1" x14ac:dyDescent="0.2">
      <c r="A5" s="25" t="s">
        <v>231</v>
      </c>
      <c r="B5" s="26">
        <v>980000</v>
      </c>
      <c r="C5" s="26">
        <v>1120000</v>
      </c>
      <c r="D5" s="26">
        <v>1340000</v>
      </c>
    </row>
    <row r="7" spans="1:5" ht="21.75" customHeight="1" x14ac:dyDescent="0.2">
      <c r="A7" s="134" t="s">
        <v>232</v>
      </c>
      <c r="B7" s="134"/>
      <c r="C7" s="134"/>
      <c r="D7" s="134"/>
      <c r="E7" s="134"/>
    </row>
    <row r="8" spans="1:5" ht="15" customHeight="1" x14ac:dyDescent="0.2">
      <c r="A8" s="33" t="s">
        <v>233</v>
      </c>
      <c r="B8" s="34">
        <v>-320000</v>
      </c>
      <c r="C8" s="34">
        <v>-350000</v>
      </c>
      <c r="D8" s="34">
        <v>-390000</v>
      </c>
    </row>
    <row r="9" spans="1:5" ht="15" customHeight="1" x14ac:dyDescent="0.2">
      <c r="A9" s="38" t="s">
        <v>234</v>
      </c>
      <c r="B9" s="39">
        <f>B8</f>
        <v>-320000</v>
      </c>
      <c r="C9" s="39">
        <f>C8</f>
        <v>-350000</v>
      </c>
      <c r="D9" s="39">
        <f>D8</f>
        <v>-390000</v>
      </c>
    </row>
    <row r="11" spans="1:5" ht="21.75" customHeight="1" x14ac:dyDescent="0.2">
      <c r="A11" s="138" t="s">
        <v>235</v>
      </c>
      <c r="B11" s="138"/>
      <c r="C11" s="138"/>
      <c r="D11" s="138"/>
      <c r="E11" s="138"/>
    </row>
    <row r="12" spans="1:5" ht="15" customHeight="1" x14ac:dyDescent="0.2">
      <c r="A12" s="33" t="s">
        <v>236</v>
      </c>
      <c r="B12" s="34">
        <v>0</v>
      </c>
      <c r="C12" s="34">
        <v>0</v>
      </c>
      <c r="D12" s="34">
        <v>0</v>
      </c>
    </row>
    <row r="13" spans="1:5" ht="15" customHeight="1" x14ac:dyDescent="0.2">
      <c r="A13" s="33" t="s">
        <v>237</v>
      </c>
      <c r="B13" s="34">
        <v>0</v>
      </c>
      <c r="C13" s="34">
        <v>0</v>
      </c>
      <c r="D13" s="34">
        <v>0</v>
      </c>
    </row>
    <row r="14" spans="1:5" ht="15" customHeight="1" x14ac:dyDescent="0.2">
      <c r="A14" s="33" t="s">
        <v>238</v>
      </c>
      <c r="B14" s="34">
        <v>-180000</v>
      </c>
      <c r="C14" s="34">
        <v>-180000</v>
      </c>
      <c r="D14" s="34">
        <v>-200000</v>
      </c>
    </row>
    <row r="15" spans="1:5" ht="15" customHeight="1" x14ac:dyDescent="0.2">
      <c r="A15" s="33" t="s">
        <v>239</v>
      </c>
      <c r="B15" s="34">
        <v>-305000</v>
      </c>
      <c r="C15" s="34">
        <v>-290000</v>
      </c>
      <c r="D15" s="34">
        <v>-270000</v>
      </c>
    </row>
    <row r="16" spans="1:5" ht="15" customHeight="1" x14ac:dyDescent="0.2">
      <c r="A16" s="33" t="s">
        <v>240</v>
      </c>
      <c r="B16" s="34">
        <v>0</v>
      </c>
      <c r="C16" s="34">
        <v>-85946</v>
      </c>
      <c r="D16" s="34">
        <v>-131538</v>
      </c>
    </row>
    <row r="17" spans="1:5" ht="15" customHeight="1" x14ac:dyDescent="0.2">
      <c r="A17" s="36" t="s">
        <v>241</v>
      </c>
      <c r="B17" s="37">
        <f>B12+B13+B14+B15+B16</f>
        <v>-485000</v>
      </c>
      <c r="C17" s="37">
        <f>C12+C13+C14+C15+C16</f>
        <v>-555946</v>
      </c>
      <c r="D17" s="37">
        <f>D12+D13+D14+D15+D16</f>
        <v>-601538</v>
      </c>
    </row>
    <row r="19" spans="1:5" ht="15" customHeight="1" x14ac:dyDescent="0.2">
      <c r="A19" s="23" t="s">
        <v>242</v>
      </c>
      <c r="B19" s="46">
        <f>B5+B9+B17</f>
        <v>175000</v>
      </c>
      <c r="C19" s="46">
        <f>C5+C9+C17</f>
        <v>214054</v>
      </c>
      <c r="D19" s="46">
        <f>D5+D9+D17</f>
        <v>348462</v>
      </c>
    </row>
    <row r="21" spans="1:5" ht="21.75" customHeight="1" x14ac:dyDescent="0.2">
      <c r="A21" s="141" t="s">
        <v>243</v>
      </c>
      <c r="B21" s="141"/>
      <c r="C21" s="141"/>
      <c r="D21" s="141"/>
      <c r="E21" s="141"/>
    </row>
    <row r="22" spans="1:5" ht="41.25" customHeight="1" x14ac:dyDescent="0.2">
      <c r="A22" s="44" t="s">
        <v>244</v>
      </c>
      <c r="B22" s="45">
        <f>B5+B8</f>
        <v>660000</v>
      </c>
      <c r="C22" s="45">
        <f>C5+C8</f>
        <v>770000</v>
      </c>
      <c r="D22" s="45">
        <f>D5+D8</f>
        <v>950000</v>
      </c>
    </row>
    <row r="23" spans="1:5" ht="49.5" customHeight="1" x14ac:dyDescent="0.2">
      <c r="A23" s="140" t="s">
        <v>245</v>
      </c>
      <c r="B23" s="140"/>
      <c r="C23" s="140"/>
      <c r="D23" s="140"/>
      <c r="E23" s="140"/>
    </row>
  </sheetData>
  <mergeCells count="7">
    <mergeCell ref="A21:E21"/>
    <mergeCell ref="A23:E23"/>
    <mergeCell ref="A1:E1"/>
    <mergeCell ref="A2:E2"/>
    <mergeCell ref="A4:E4"/>
    <mergeCell ref="A7:E7"/>
    <mergeCell ref="A11:E11"/>
  </mergeCells>
  <pageMargins left="0.75" right="0.75" top="1" bottom="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4AC0D"/>
  </sheetPr>
  <dimension ref="A1:I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defaultColWidth="8.7109375" defaultRowHeight="12.75" x14ac:dyDescent="0.2"/>
  <cols>
    <col min="1" max="1" width="26" style="22" customWidth="1"/>
    <col min="2" max="2" width="30" style="22" customWidth="1"/>
    <col min="3" max="3" width="49.140625" style="22" customWidth="1"/>
    <col min="4" max="4" width="16" style="22" customWidth="1"/>
    <col min="5" max="6" width="11" style="22" customWidth="1"/>
    <col min="7" max="7" width="16" style="22" customWidth="1"/>
    <col min="8" max="8" width="31.85546875" style="22" customWidth="1"/>
    <col min="9" max="9" width="1.42578125" style="22" hidden="1" customWidth="1"/>
    <col min="10" max="16384" width="8.7109375" style="22"/>
  </cols>
  <sheetData>
    <row r="1" spans="1:9" ht="30" customHeight="1" x14ac:dyDescent="0.2">
      <c r="A1" s="133" t="s">
        <v>246</v>
      </c>
      <c r="B1" s="133"/>
      <c r="C1" s="133"/>
      <c r="D1" s="133"/>
      <c r="E1" s="133"/>
      <c r="F1" s="133"/>
      <c r="G1" s="133"/>
      <c r="H1" s="133"/>
    </row>
    <row r="2" spans="1:9" ht="15" customHeight="1" x14ac:dyDescent="0.2">
      <c r="A2" s="140" t="s">
        <v>247</v>
      </c>
      <c r="B2" s="140"/>
      <c r="C2" s="140"/>
      <c r="D2" s="140"/>
      <c r="E2" s="140"/>
      <c r="F2" s="140"/>
      <c r="G2" s="140"/>
      <c r="H2" s="140"/>
    </row>
    <row r="3" spans="1:9" ht="31.5" customHeight="1" x14ac:dyDescent="0.2">
      <c r="A3" s="24" t="s">
        <v>138</v>
      </c>
      <c r="B3" s="24" t="s">
        <v>248</v>
      </c>
      <c r="C3" s="24" t="s">
        <v>249</v>
      </c>
      <c r="D3" s="24" t="s">
        <v>251</v>
      </c>
      <c r="E3" s="24" t="s">
        <v>250</v>
      </c>
      <c r="F3" s="24" t="s">
        <v>252</v>
      </c>
      <c r="G3" s="24" t="s">
        <v>253</v>
      </c>
      <c r="H3" s="24" t="s">
        <v>254</v>
      </c>
    </row>
    <row r="4" spans="1:9" ht="21.75" customHeight="1" x14ac:dyDescent="0.2">
      <c r="A4" s="134" t="s">
        <v>255</v>
      </c>
      <c r="B4" s="134"/>
      <c r="C4" s="134"/>
      <c r="D4" s="134"/>
      <c r="E4" s="134"/>
      <c r="F4" s="134"/>
      <c r="G4" s="134"/>
      <c r="H4" s="134"/>
      <c r="I4" s="134"/>
    </row>
    <row r="5" spans="1:9" ht="30" customHeight="1" x14ac:dyDescent="0.2">
      <c r="A5" s="31" t="s">
        <v>140</v>
      </c>
      <c r="B5" s="50" t="s">
        <v>256</v>
      </c>
      <c r="C5" s="20" t="s">
        <v>257</v>
      </c>
      <c r="D5" s="51">
        <f>IFERROR('🏛 BALANCE SHEET'!B11/'🏛 BALANCE SHEET'!B23,"N/A")</f>
        <v>2.5490196078431371</v>
      </c>
      <c r="E5" s="51">
        <f>IFERROR('🏛 BALANCE SHEET'!C11/'🏛 BALANCE SHEET'!C23,"N/A")</f>
        <v>2.6798780487804876</v>
      </c>
      <c r="F5" s="51">
        <f>IFERROR('🏛 BALANCE SHEET'!D11/'🏛 BALANCE SHEET'!D23,"N/A")</f>
        <v>2.8221722003376479</v>
      </c>
      <c r="G5" s="52" t="s">
        <v>141</v>
      </c>
      <c r="H5" s="53" t="str">
        <f>IF(E5=0,"Base year",IF(F5&gt;E5,"✅ Improved vs prior year",IF(F5&lt;E5,"⚠ Declined vs prior year","➖ Unchanged")))</f>
        <v>✅ Improved vs prior year</v>
      </c>
    </row>
    <row r="6" spans="1:9" ht="30" customHeight="1" x14ac:dyDescent="0.2">
      <c r="A6" s="31" t="s">
        <v>258</v>
      </c>
      <c r="B6" s="50" t="s">
        <v>259</v>
      </c>
      <c r="C6" s="20" t="s">
        <v>260</v>
      </c>
      <c r="D6" s="51">
        <f>IFERROR(('🏛 BALANCE SHEET'!B11-'🏛 BALANCE SHEET'!B9)/'🏛 BALANCE SHEET'!B23,"N/A")</f>
        <v>1.6209150326797386</v>
      </c>
      <c r="E6" s="51">
        <f>IFERROR(('🏛 BALANCE SHEET'!C11-'🏛 BALANCE SHEET'!C9)/'🏛 BALANCE SHEET'!C23,"N/A")</f>
        <v>1.7164634146341464</v>
      </c>
      <c r="F6" s="51">
        <f>IFERROR(('🏛 BALANCE SHEET'!D11-'🏛 BALANCE SHEET'!D9)/'🏛 BALANCE SHEET'!D23,"N/A")</f>
        <v>1.8261114237478897</v>
      </c>
      <c r="G6" s="52" t="s">
        <v>261</v>
      </c>
      <c r="H6" s="53" t="str">
        <f>IF(E6=0,"Base year",IF(F6&gt;E6,"✅ Improved vs prior year",IF(F6&lt;E6,"⚠ Declined vs prior year","➖ Unchanged")))</f>
        <v>✅ Improved vs prior year</v>
      </c>
    </row>
    <row r="7" spans="1:9" ht="30" customHeight="1" x14ac:dyDescent="0.2">
      <c r="A7" s="31" t="s">
        <v>262</v>
      </c>
      <c r="B7" s="50" t="s">
        <v>263</v>
      </c>
      <c r="C7" s="20" t="s">
        <v>264</v>
      </c>
      <c r="D7" s="51">
        <f>IFERROR('🏛 BALANCE SHEET'!B24/'🏛 BALANCE SHEET'!B17,"N/A")</f>
        <v>0.45673076923076922</v>
      </c>
      <c r="E7" s="51">
        <f>IFERROR('🏛 BALANCE SHEET'!C24/'🏛 BALANCE SHEET'!C17,"N/A")</f>
        <v>0.34921939194741169</v>
      </c>
      <c r="F7" s="51">
        <f>IFERROR('🏛 BALANCE SHEET'!D24/'🏛 BALANCE SHEET'!D17,"N/A")</f>
        <v>0.25919439579684761</v>
      </c>
      <c r="G7" s="52" t="s">
        <v>144</v>
      </c>
      <c r="H7" s="53" t="str">
        <f>IF(E7=0,"Base year",IF(F7&lt;E7,"✅ Improved vs prior year",IF(F7&gt;E7,"⚠ Declined vs prior year","➖ Unchanged")))</f>
        <v>✅ Improved vs prior year</v>
      </c>
    </row>
    <row r="8" spans="1:9" ht="43.5" customHeight="1" x14ac:dyDescent="0.2">
      <c r="A8" s="31" t="s">
        <v>265</v>
      </c>
      <c r="B8" s="50" t="s">
        <v>266</v>
      </c>
      <c r="C8" s="20" t="s">
        <v>267</v>
      </c>
      <c r="D8" s="54">
        <f>'🎯 RISK ASSESSMENT &amp; SCORING'!B20</f>
        <v>5.8061630148992114</v>
      </c>
      <c r="E8" s="54">
        <f>'🎯 RISK ASSESSMENT &amp; SCORING'!C20</f>
        <v>6.3592360455223602</v>
      </c>
      <c r="F8" s="54">
        <f>'🎯 RISK ASSESSMENT &amp; SCORING'!D20</f>
        <v>7.046365590063763</v>
      </c>
      <c r="G8" s="52" t="s">
        <v>268</v>
      </c>
      <c r="H8" s="53" t="str">
        <f>IF(E8=0,"Base year",IF(F8&gt;E8,"✅ Improved vs prior year",IF(F8&lt;E8,"⚠ Declined vs prior year","➖ Unchanged")))</f>
        <v>✅ Improved vs prior year</v>
      </c>
    </row>
    <row r="10" spans="1:9" ht="21.75" customHeight="1" x14ac:dyDescent="0.2">
      <c r="A10" s="132" t="s">
        <v>269</v>
      </c>
      <c r="B10" s="132"/>
      <c r="C10" s="132"/>
      <c r="D10" s="132"/>
      <c r="E10" s="132"/>
      <c r="F10" s="132"/>
      <c r="G10" s="132"/>
      <c r="H10" s="132"/>
      <c r="I10" s="132"/>
    </row>
    <row r="11" spans="1:9" ht="30" customHeight="1" x14ac:dyDescent="0.2">
      <c r="A11" s="31" t="s">
        <v>200</v>
      </c>
      <c r="B11" s="50" t="s">
        <v>270</v>
      </c>
      <c r="C11" s="20" t="s">
        <v>271</v>
      </c>
      <c r="D11" s="55" t="str">
        <f>"N/A — base year"</f>
        <v>N/A — base year</v>
      </c>
      <c r="E11" s="55">
        <f>'📈 P&amp;L'!C18</f>
        <v>0.10211267605633803</v>
      </c>
      <c r="F11" s="55">
        <f>'📈 P&amp;L'!D18</f>
        <v>0.11693290734824281</v>
      </c>
      <c r="G11" s="52" t="s">
        <v>272</v>
      </c>
      <c r="H11" s="53" t="str">
        <f>IF(E11=0,"Base year",IF(F11&gt;E11,"✅ Improved vs prior year",IF(F11&lt;E11,"⚠ Declined vs prior year","➖ Unchanged")))</f>
        <v>✅ Improved vs prior year</v>
      </c>
    </row>
    <row r="12" spans="1:9" ht="30" customHeight="1" x14ac:dyDescent="0.2">
      <c r="A12" s="31" t="s">
        <v>155</v>
      </c>
      <c r="B12" s="50" t="s">
        <v>273</v>
      </c>
      <c r="C12" s="20" t="s">
        <v>274</v>
      </c>
      <c r="D12" s="55">
        <f>'📈 P&amp;L'!B17</f>
        <v>5.0845070422535214E-2</v>
      </c>
      <c r="E12" s="55">
        <f>'📈 P&amp;L'!C17</f>
        <v>5.0670926517571886E-2</v>
      </c>
      <c r="F12" s="55">
        <f>'📈 P&amp;L'!D17</f>
        <v>5.6693363844393593E-2</v>
      </c>
      <c r="G12" s="52" t="s">
        <v>156</v>
      </c>
      <c r="H12" s="53" t="str">
        <f>IF(E12=0,"Base year",IF(F12&gt;E12,"✅ Improved vs prior year",IF(F12&lt;E12,"⚠ Declined vs prior year","➖ Unchanged")))</f>
        <v>✅ Improved vs prior year</v>
      </c>
    </row>
    <row r="13" spans="1:9" ht="30" customHeight="1" x14ac:dyDescent="0.2">
      <c r="A13" s="31" t="s">
        <v>275</v>
      </c>
      <c r="B13" s="50" t="s">
        <v>276</v>
      </c>
      <c r="C13" s="20" t="s">
        <v>277</v>
      </c>
      <c r="D13" s="55">
        <f>IFERROR('📈 P&amp;L'!B16/'🏛 BALANCE SHEET'!B17,"N/A")</f>
        <v>0.1735576923076923</v>
      </c>
      <c r="E13" s="55">
        <f>IFERROR('📈 P&amp;L'!C16/'🏛 BALANCE SHEET'!C17,"N/A")</f>
        <v>0.16290057518488085</v>
      </c>
      <c r="F13" s="55">
        <f>IFERROR('📈 P&amp;L'!D16/'🏛 BALANCE SHEET'!D17,"N/A")</f>
        <v>0.17355516637478108</v>
      </c>
      <c r="G13" s="52" t="s">
        <v>278</v>
      </c>
      <c r="H13" s="53" t="str">
        <f>IF(E13=0,"Base year",IF(F13&gt;E13,"✅ Improved vs prior year",IF(F13&lt;E13,"⚠ Declined vs prior year","➖ Unchanged")))</f>
        <v>✅ Improved vs prior year</v>
      </c>
    </row>
    <row r="15" spans="1:9" ht="21.75" customHeight="1" x14ac:dyDescent="0.2">
      <c r="A15" s="137" t="s">
        <v>279</v>
      </c>
      <c r="B15" s="137"/>
      <c r="C15" s="137"/>
      <c r="D15" s="137"/>
      <c r="E15" s="137"/>
      <c r="F15" s="137"/>
      <c r="G15" s="137"/>
      <c r="H15" s="137"/>
      <c r="I15" s="137"/>
    </row>
    <row r="16" spans="1:9" ht="30" customHeight="1" x14ac:dyDescent="0.2">
      <c r="A16" s="31" t="s">
        <v>280</v>
      </c>
      <c r="B16" s="50" t="s">
        <v>281</v>
      </c>
      <c r="C16" s="20" t="s">
        <v>282</v>
      </c>
      <c r="D16" s="56">
        <f>'💵 CASH FLOW'!B5</f>
        <v>980000</v>
      </c>
      <c r="E16" s="56">
        <f>'💵 CASH FLOW'!C5</f>
        <v>1120000</v>
      </c>
      <c r="F16" s="56">
        <f>'💵 CASH FLOW'!D5</f>
        <v>1340000</v>
      </c>
      <c r="G16" s="52" t="s">
        <v>283</v>
      </c>
      <c r="H16" s="53" t="str">
        <f>IF(E16=0,"Base year",IF(F16&gt;E16,"✅ Improved vs prior year",IF(F16&lt;E16,"⚠ Declined vs prior year","➖ Unchanged")))</f>
        <v>✅ Improved vs prior year</v>
      </c>
    </row>
    <row r="17" spans="1:9" ht="30" customHeight="1" x14ac:dyDescent="0.2">
      <c r="A17" s="31" t="s">
        <v>284</v>
      </c>
      <c r="B17" s="50" t="s">
        <v>285</v>
      </c>
      <c r="C17" s="20" t="s">
        <v>286</v>
      </c>
      <c r="D17" s="56">
        <f>'💵 CASH FLOW'!B22</f>
        <v>660000</v>
      </c>
      <c r="E17" s="56">
        <f>'💵 CASH FLOW'!C22</f>
        <v>770000</v>
      </c>
      <c r="F17" s="56">
        <f>'💵 CASH FLOW'!D22</f>
        <v>950000</v>
      </c>
      <c r="G17" s="52" t="s">
        <v>283</v>
      </c>
      <c r="H17" s="53" t="str">
        <f>IF(E17=0,"Base year",IF(F17&gt;E17,"✅ Improved vs prior year",IF(F17&lt;E17,"⚠ Declined vs prior year","➖ Unchanged")))</f>
        <v>✅ Improved vs prior year</v>
      </c>
    </row>
    <row r="18" spans="1:9" ht="38.25" customHeight="1" x14ac:dyDescent="0.2">
      <c r="A18" s="31" t="s">
        <v>287</v>
      </c>
      <c r="B18" s="50" t="s">
        <v>288</v>
      </c>
      <c r="C18" s="20" t="s">
        <v>289</v>
      </c>
      <c r="D18" s="51">
        <f>IFERROR('💵 CASH FLOW'!B5/'📈 P&amp;L'!B16,"N/A")</f>
        <v>1.3573407202216066</v>
      </c>
      <c r="E18" s="51">
        <f>IFERROR('💵 CASH FLOW'!C5/'📈 P&amp;L'!C16,"N/A")</f>
        <v>1.4123581336696092</v>
      </c>
      <c r="F18" s="51">
        <f>IFERROR('💵 CASH FLOW'!D5/'📈 P&amp;L'!D16,"N/A")</f>
        <v>1.3521695257315842</v>
      </c>
      <c r="G18" s="52" t="s">
        <v>159</v>
      </c>
      <c r="H18" s="53" t="str">
        <f>IF(E18=0,"Base year",IF(F18&gt;E18,"✅ Improved vs prior year",IF(F18&lt;E18,"⚠ Declined vs prior year","➖ Unchanged")))</f>
        <v>⚠ Declined vs prior year</v>
      </c>
    </row>
    <row r="20" spans="1:9" ht="21.75" customHeight="1" x14ac:dyDescent="0.2">
      <c r="A20" s="138" t="s">
        <v>290</v>
      </c>
      <c r="B20" s="138"/>
      <c r="C20" s="138"/>
      <c r="D20" s="138"/>
      <c r="E20" s="138"/>
      <c r="F20" s="138"/>
      <c r="G20" s="138"/>
      <c r="H20" s="138"/>
      <c r="I20" s="138"/>
    </row>
    <row r="21" spans="1:9" ht="30" customHeight="1" x14ac:dyDescent="0.2">
      <c r="A21" s="31" t="s">
        <v>291</v>
      </c>
      <c r="B21" s="50" t="s">
        <v>292</v>
      </c>
      <c r="C21" s="20" t="s">
        <v>293</v>
      </c>
      <c r="D21" s="51">
        <f>IFERROR('📈 P&amp;L'!B11/'📈 P&amp;L'!B13,"N/A")</f>
        <v>3.8129032258064517</v>
      </c>
      <c r="E21" s="51">
        <f>IFERROR('📈 P&amp;L'!C11/'📈 P&amp;L'!C13,"N/A")</f>
        <v>4.2847457627118644</v>
      </c>
      <c r="F21" s="51">
        <f>IFERROR('📈 P&amp;L'!D11/'📈 P&amp;L'!D13,"N/A")</f>
        <v>5.3490909090909087</v>
      </c>
      <c r="G21" s="52" t="s">
        <v>147</v>
      </c>
      <c r="H21" s="53" t="str">
        <f>IF(E21=0,"Base year",IF(F21&gt;E21,"✅ Improved vs prior year",IF(F21&lt;E21,"⚠ Declined vs prior year","➖ Unchanged")))</f>
        <v>✅ Improved vs prior year</v>
      </c>
    </row>
    <row r="22" spans="1:9" ht="54" customHeight="1" x14ac:dyDescent="0.2">
      <c r="A22" s="31" t="s">
        <v>149</v>
      </c>
      <c r="B22" s="50" t="s">
        <v>294</v>
      </c>
      <c r="C22" s="20" t="s">
        <v>295</v>
      </c>
      <c r="D22" s="51">
        <f>IFERROR(('📈 P&amp;L'!B16+'📈 P&amp;L'!B10+'📈 P&amp;L'!B13)/(ABS('💵 CASH FLOW'!B15)+ABS('💵 CASH FLOW'!B14)),"N/A")</f>
        <v>2.9113402061855669</v>
      </c>
      <c r="E22" s="51">
        <f>IFERROR(('📈 P&amp;L'!C16+'📈 P&amp;L'!C10+'📈 P&amp;L'!C13)/(ABS('💵 CASH FLOW'!C15)+ABS('💵 CASH FLOW'!C14)),"N/A")</f>
        <v>3.15531914893617</v>
      </c>
      <c r="F22" s="51">
        <f>IFERROR(('📈 P&amp;L'!D16+'📈 P&amp;L'!D10+'📈 P&amp;L'!D13)/(ABS('💵 CASH FLOW'!D15)+ABS('💵 CASH FLOW'!D14)),"N/A")</f>
        <v>3.576595744680851</v>
      </c>
      <c r="G22" s="52" t="s">
        <v>150</v>
      </c>
      <c r="H22" s="53" t="str">
        <f>IF(E22=0,"Base year",IF(F22&gt;E22,"✅ Improved vs prior year",IF(F22&lt;E22,"⚠ Declined vs prior year","➖ Unchanged")))</f>
        <v>✅ Improved vs prior year</v>
      </c>
    </row>
    <row r="23" spans="1:9" ht="30" customHeight="1" x14ac:dyDescent="0.2">
      <c r="A23" s="31" t="s">
        <v>152</v>
      </c>
      <c r="B23" s="50" t="s">
        <v>296</v>
      </c>
      <c r="C23" s="20" t="s">
        <v>297</v>
      </c>
      <c r="D23" s="51">
        <f>IFERROR(('🏛 BALANCE SHEET'!B24-'🏛 BALANCE SHEET'!B7)/'📈 P&amp;L'!B8,"N/A")</f>
        <v>0.84507042253521125</v>
      </c>
      <c r="E23" s="51">
        <f>IFERROR(('🏛 BALANCE SHEET'!C24-'🏛 BALANCE SHEET'!C7)/'📈 P&amp;L'!C8,"N/A")</f>
        <v>0.59071729957805907</v>
      </c>
      <c r="F23" s="51">
        <f>IFERROR(('🏛 BALANCE SHEET'!D24-'🏛 BALANCE SHEET'!D7)/'📈 P&amp;L'!D8,"N/A")</f>
        <v>0.3022269353128314</v>
      </c>
      <c r="G23" s="52" t="s">
        <v>153</v>
      </c>
      <c r="H23" s="53" t="str">
        <f>IF(E23=0,"Base year",IF(F23&lt;E23,"✅ Improved vs prior year",IF(F23&gt;E23,"⚠ Declined vs prior year","➖ Unchanged")))</f>
        <v>✅ Improved vs prior year</v>
      </c>
    </row>
    <row r="25" spans="1:9" ht="21.75" customHeight="1" x14ac:dyDescent="0.2">
      <c r="A25" s="132" t="s">
        <v>298</v>
      </c>
      <c r="B25" s="132"/>
      <c r="C25" s="132"/>
      <c r="D25" s="132"/>
      <c r="E25" s="132"/>
      <c r="F25" s="132"/>
      <c r="G25" s="132"/>
      <c r="H25" s="132"/>
      <c r="I25" s="132"/>
    </row>
    <row r="26" spans="1:9" ht="42" customHeight="1" x14ac:dyDescent="0.2">
      <c r="A26" s="31" t="s">
        <v>161</v>
      </c>
      <c r="B26" s="50" t="s">
        <v>299</v>
      </c>
      <c r="C26" s="29" t="s">
        <v>300</v>
      </c>
      <c r="D26" s="57">
        <f>IFERROR(365*'🏛 BALANCE SHEET'!B8/'📈 P&amp;L'!B4,"N/A")</f>
        <v>44.982394366197184</v>
      </c>
      <c r="E26" s="57">
        <f>IFERROR(365*'🏛 BALANCE SHEET'!C8/'📈 P&amp;L'!C4,"N/A")</f>
        <v>45.012779552715656</v>
      </c>
      <c r="F26" s="57">
        <f>IFERROR(365*'🏛 BALANCE SHEET'!D8/'📈 P&amp;L'!D4,"N/A")</f>
        <v>44.99856979405034</v>
      </c>
      <c r="G26" s="52" t="s">
        <v>162</v>
      </c>
      <c r="H26" s="53" t="str">
        <f>IF(E26=0,"Base year",IF(F26&lt;E26,"✅ Improved vs prior year",IF(F26&gt;E26,"⚠ Declined vs prior year","➖ Unchanged")))</f>
        <v>✅ Improved vs prior year</v>
      </c>
    </row>
    <row r="27" spans="1:9" ht="42" customHeight="1" x14ac:dyDescent="0.2">
      <c r="A27" s="31" t="s">
        <v>301</v>
      </c>
      <c r="B27" s="50" t="s">
        <v>302</v>
      </c>
      <c r="C27" s="29" t="s">
        <v>303</v>
      </c>
      <c r="D27" s="57">
        <f>IFERROR((365*'🏛 BALANCE SHEET'!B9/'📈 P&amp;L'!B5)+(365*'🏛 BALANCE SHEET'!B8/'📈 P&amp;L'!B4)-(365*'🏛 BALANCE SHEET'!B20/'📈 P&amp;L'!B5),"N/A")</f>
        <v>57.03125</v>
      </c>
      <c r="E27" s="57">
        <f>IFERROR((365*'🏛 BALANCE SHEET'!C9/'📈 P&amp;L'!C5)+(365*'🏛 BALANCE SHEET'!C8/'📈 P&amp;L'!C4)-(365*'🏛 BALANCE SHEET'!C20/'📈 P&amp;L'!C5),"N/A")</f>
        <v>57.091708723909967</v>
      </c>
      <c r="F27" s="57">
        <f>IFERROR((365*'🏛 BALANCE SHEET'!D9/'📈 P&amp;L'!D5)+(365*'🏛 BALANCE SHEET'!D8/'📈 P&amp;L'!D4)-(365*'🏛 BALANCE SHEET'!D20/'📈 P&amp;L'!D5),"N/A")</f>
        <v>57.045304523851428</v>
      </c>
      <c r="G27" s="52" t="s">
        <v>304</v>
      </c>
      <c r="H27" s="53" t="str">
        <f>IF(E27=0,"Base year",IF(F27&lt;E27,"✅ Improved vs prior year",IF(F27&gt;E27,"⚠ Declined vs prior year","➖ Unchanged")))</f>
        <v>✅ Improved vs prior year</v>
      </c>
    </row>
    <row r="29" spans="1:9" ht="21.75" customHeight="1" x14ac:dyDescent="0.2">
      <c r="A29" s="141" t="s">
        <v>305</v>
      </c>
      <c r="B29" s="141"/>
      <c r="C29" s="141"/>
      <c r="D29" s="141"/>
      <c r="E29" s="141"/>
      <c r="F29" s="141"/>
      <c r="G29" s="141"/>
      <c r="H29" s="141"/>
      <c r="I29" s="141"/>
    </row>
    <row r="30" spans="1:9" ht="39.75" customHeight="1" x14ac:dyDescent="0.2">
      <c r="A30" s="31" t="s">
        <v>306</v>
      </c>
      <c r="B30" s="50" t="s">
        <v>307</v>
      </c>
      <c r="C30" s="29" t="s">
        <v>308</v>
      </c>
      <c r="D30" s="55" t="str">
        <f>"—"</f>
        <v>—</v>
      </c>
      <c r="E30" s="55" t="str">
        <f>"—"</f>
        <v>—</v>
      </c>
      <c r="F30" s="55">
        <f>IFERROR('🏢 VENDOR PROFILE'!$B$15/'📈 P&amp;L'!D4,"N/A")</f>
        <v>0.14302059496567507</v>
      </c>
      <c r="G30" s="52" t="s">
        <v>165</v>
      </c>
      <c r="H30" s="53" t="str">
        <f>IF(E30=0,"Base year",IF(F30&lt;E30,"✅ Improved vs prior year",IF(F30&gt;E30,"⚠ Declined vs prior year","➖ Unchanged")))</f>
        <v>✅ Improved vs prior year</v>
      </c>
    </row>
    <row r="31" spans="1:9" ht="48" customHeight="1" x14ac:dyDescent="0.2">
      <c r="A31" s="53" t="s">
        <v>309</v>
      </c>
      <c r="B31" s="50" t="s">
        <v>310</v>
      </c>
      <c r="C31" s="29" t="s">
        <v>311</v>
      </c>
      <c r="D31" s="55" t="str">
        <f>"—"</f>
        <v>—</v>
      </c>
      <c r="E31" s="55" t="str">
        <f>"—"</f>
        <v>—</v>
      </c>
      <c r="F31" s="55">
        <f>IFERROR('🏢 VENDOR PROFILE'!$B$15/'🏛 BALANCE SHEET'!D17,"N/A")</f>
        <v>0.43782837127845886</v>
      </c>
      <c r="G31" s="52" t="s">
        <v>312</v>
      </c>
      <c r="H31" s="53" t="str">
        <f>IF(E31=0,"Base year",IF(F31&gt;E31,"⚠ Declined vs prior year",IF(F31&lt;E31,"✅ Improved vs prior year","➖ Unchanged")))</f>
        <v>✅ Improved vs prior year</v>
      </c>
    </row>
    <row r="32" spans="1:9" ht="52.5" customHeight="1" x14ac:dyDescent="0.2">
      <c r="A32" s="140" t="s">
        <v>313</v>
      </c>
      <c r="B32" s="140"/>
      <c r="C32" s="140"/>
      <c r="D32" s="140"/>
      <c r="E32" s="140"/>
      <c r="F32" s="140"/>
      <c r="G32" s="140"/>
      <c r="H32" s="140"/>
    </row>
  </sheetData>
  <sheetProtection algorithmName="SHA-512" hashValue="PxZK6KfSgANetnr/kCE/2iO8aSbcqVaLStCcXnWlNF2jt+iySs8TRDYJ/XaGtA1tWSGa0VMvLxSBDE31GZnrKw==" saltValue="6XM9SOntiG+aTLRVqTvZVQ==" spinCount="100000" sheet="1" objects="1" scenarios="1"/>
  <mergeCells count="9">
    <mergeCell ref="A20:I20"/>
    <mergeCell ref="A25:I25"/>
    <mergeCell ref="A29:I29"/>
    <mergeCell ref="A32:H32"/>
    <mergeCell ref="A1:H1"/>
    <mergeCell ref="A2:H2"/>
    <mergeCell ref="A4:I4"/>
    <mergeCell ref="A10:I10"/>
    <mergeCell ref="A15:I15"/>
  </mergeCells>
  <pageMargins left="0.75" right="0.75" top="1" bottom="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C0D"/>
  </sheetPr>
  <dimension ref="A1:H69"/>
  <sheetViews>
    <sheetView zoomScaleNormal="100" workbookViewId="0">
      <pane ySplit="3" topLeftCell="A54" activePane="bottomLeft" state="frozen"/>
      <selection pane="bottomLeft" sqref="A1:XFD1048576"/>
    </sheetView>
  </sheetViews>
  <sheetFormatPr defaultColWidth="8.7109375" defaultRowHeight="15" x14ac:dyDescent="0.25"/>
  <cols>
    <col min="1" max="1" width="41.140625" style="1" customWidth="1"/>
    <col min="2" max="2" width="16.7109375" style="1" customWidth="1"/>
    <col min="3" max="3" width="16.85546875" style="1" customWidth="1"/>
    <col min="4" max="4" width="17.7109375" style="1" customWidth="1"/>
    <col min="5" max="5" width="13" style="1" customWidth="1"/>
    <col min="6" max="6" width="38" style="1" customWidth="1"/>
    <col min="7" max="16384" width="8.7109375" style="1"/>
  </cols>
  <sheetData>
    <row r="1" spans="1:4" ht="30" customHeight="1" x14ac:dyDescent="0.25">
      <c r="A1" s="133" t="s">
        <v>314</v>
      </c>
      <c r="B1" s="133"/>
      <c r="C1" s="133"/>
      <c r="D1" s="133"/>
    </row>
    <row r="2" spans="1:4" ht="35.25" customHeight="1" x14ac:dyDescent="0.25">
      <c r="A2" s="136" t="s">
        <v>315</v>
      </c>
      <c r="B2" s="136"/>
      <c r="C2" s="136"/>
      <c r="D2" s="136"/>
    </row>
    <row r="3" spans="1:4" ht="21.75" customHeight="1" x14ac:dyDescent="0.25">
      <c r="A3" s="137" t="s">
        <v>316</v>
      </c>
      <c r="B3" s="137"/>
      <c r="C3" s="137"/>
      <c r="D3" s="137"/>
    </row>
    <row r="4" spans="1:4" ht="18.75" customHeight="1" x14ac:dyDescent="0.25">
      <c r="A4" s="135" t="s">
        <v>317</v>
      </c>
      <c r="B4" s="135"/>
      <c r="C4" s="135"/>
      <c r="D4" s="135"/>
    </row>
    <row r="5" spans="1:4" ht="18" customHeight="1" x14ac:dyDescent="0.25">
      <c r="A5" s="15" t="s">
        <v>318</v>
      </c>
      <c r="B5" s="16" t="s">
        <v>184</v>
      </c>
      <c r="C5" s="16" t="s">
        <v>183</v>
      </c>
      <c r="D5" s="16" t="s">
        <v>185</v>
      </c>
    </row>
    <row r="6" spans="1:4" ht="15" customHeight="1" x14ac:dyDescent="0.25">
      <c r="A6" s="17" t="s">
        <v>319</v>
      </c>
      <c r="B6" s="49">
        <f>IFERROR('📈 P&amp;L'!B16/'📈 P&amp;L'!B4,0)</f>
        <v>5.0845070422535214E-2</v>
      </c>
      <c r="C6" s="49">
        <f>IFERROR('📈 P&amp;L'!C16/'📈 P&amp;L'!C4,0)</f>
        <v>5.0670926517571886E-2</v>
      </c>
      <c r="D6" s="49">
        <f>IFERROR('📈 P&amp;L'!D16/'📈 P&amp;L'!D4,0)</f>
        <v>5.6693363844393593E-2</v>
      </c>
    </row>
    <row r="7" spans="1:4" ht="15" customHeight="1" x14ac:dyDescent="0.25">
      <c r="A7" s="17" t="s">
        <v>320</v>
      </c>
      <c r="B7" s="48">
        <f>IFERROR('📈 P&amp;L'!B4/'🏛 BALANCE SHEET'!B12,0)</f>
        <v>1.9137466307277629</v>
      </c>
      <c r="C7" s="48">
        <f>IFERROR('📈 P&amp;L'!C4/'🏛 BALANCE SHEET'!C12,0)</f>
        <v>1.9368811881188119</v>
      </c>
      <c r="D7" s="48">
        <f>IFERROR('📈 P&amp;L'!D4/'🏛 BALANCE SHEET'!D12,0)</f>
        <v>1.967360720315138</v>
      </c>
    </row>
    <row r="8" spans="1:4" ht="15" customHeight="1" x14ac:dyDescent="0.25">
      <c r="A8" s="17" t="s">
        <v>321</v>
      </c>
      <c r="B8" s="48">
        <f>IFERROR('🏛 BALANCE SHEET'!B12/'🏛 BALANCE SHEET'!B17,0)</f>
        <v>1.7836538461538463</v>
      </c>
      <c r="C8" s="48">
        <f>IFERROR('🏛 BALANCE SHEET'!C12/'🏛 BALANCE SHEET'!C17,0)</f>
        <v>1.6598192276088743</v>
      </c>
      <c r="D8" s="48">
        <f>IFERROR('🏛 BALANCE SHEET'!D12/'🏛 BALANCE SHEET'!D17,0)</f>
        <v>1.5560420315236427</v>
      </c>
    </row>
    <row r="9" spans="1:4" ht="31.5" customHeight="1" x14ac:dyDescent="0.25">
      <c r="A9" s="18" t="s">
        <v>322</v>
      </c>
      <c r="B9" s="58">
        <f>B6*B7*B8</f>
        <v>0.17355769230769233</v>
      </c>
      <c r="C9" s="58">
        <f>C6*C7*C8</f>
        <v>0.16290057518488088</v>
      </c>
      <c r="D9" s="58">
        <f>D6*D7*D8</f>
        <v>0.17355516637478111</v>
      </c>
    </row>
    <row r="10" spans="1:4" ht="28.5" customHeight="1" x14ac:dyDescent="0.25">
      <c r="A10" s="7" t="s">
        <v>323</v>
      </c>
      <c r="B10" s="59">
        <f>IFERROR('📈 P&amp;L'!B16/'🏛 BALANCE SHEET'!B17,0)</f>
        <v>0.1735576923076923</v>
      </c>
      <c r="C10" s="59">
        <f>IFERROR('📈 P&amp;L'!C16/'🏛 BALANCE SHEET'!C17,0)</f>
        <v>0.16290057518488085</v>
      </c>
      <c r="D10" s="59">
        <f>IFERROR('📈 P&amp;L'!D16/'🏛 BALANCE SHEET'!D17,0)</f>
        <v>0.17355516637478108</v>
      </c>
    </row>
    <row r="11" spans="1:4" ht="15" customHeight="1" x14ac:dyDescent="0.25">
      <c r="A11" s="60" t="s">
        <v>324</v>
      </c>
      <c r="B11" s="61">
        <f>B9-B10</f>
        <v>0</v>
      </c>
      <c r="C11" s="61">
        <f>C9-C10</f>
        <v>0</v>
      </c>
      <c r="D11" s="61">
        <f>D9-D10</f>
        <v>0</v>
      </c>
    </row>
    <row r="13" spans="1:4" ht="29.25" customHeight="1" x14ac:dyDescent="0.25">
      <c r="A13" s="134" t="s">
        <v>325</v>
      </c>
      <c r="B13" s="134"/>
      <c r="C13" s="134"/>
      <c r="D13" s="134"/>
    </row>
    <row r="14" spans="1:4" ht="15" customHeight="1" x14ac:dyDescent="0.25">
      <c r="A14" s="135" t="s">
        <v>326</v>
      </c>
      <c r="B14" s="135"/>
      <c r="C14" s="135"/>
      <c r="D14" s="135"/>
    </row>
    <row r="15" spans="1:4" ht="18" customHeight="1" x14ac:dyDescent="0.25">
      <c r="A15" s="15" t="s">
        <v>318</v>
      </c>
      <c r="B15" s="16" t="str">
        <f>B5</f>
        <v>Year -1</v>
      </c>
      <c r="C15" s="16" t="str">
        <f>C5</f>
        <v>Year -2</v>
      </c>
      <c r="D15" s="16" t="str">
        <f>D5</f>
        <v>Latest Year</v>
      </c>
    </row>
    <row r="16" spans="1:4" ht="15" customHeight="1" x14ac:dyDescent="0.25">
      <c r="A16" s="17" t="s">
        <v>327</v>
      </c>
      <c r="B16" s="62">
        <f>IFERROR(('🏛 BALANCE SHEET'!B11-'🏛 BALANCE SHEET'!B23)/'🏛 BALANCE SHEET'!B12,0)</f>
        <v>0.31940700808625339</v>
      </c>
      <c r="C16" s="62">
        <f>IFERROR(('🏛 BALANCE SHEET'!C11-'🏛 BALANCE SHEET'!C23)/'🏛 BALANCE SHEET'!C12,0)</f>
        <v>0.34096534653465349</v>
      </c>
      <c r="D16" s="62">
        <f>IFERROR(('🏛 BALANCE SHEET'!D11-'🏛 BALANCE SHEET'!D23)/'🏛 BALANCE SHEET'!D12,0)</f>
        <v>0.36443444006752956</v>
      </c>
    </row>
    <row r="17" spans="1:8" ht="15" customHeight="1" x14ac:dyDescent="0.25">
      <c r="A17" s="17" t="s">
        <v>328</v>
      </c>
      <c r="B17" s="62">
        <f>IFERROR('🏛 BALANCE SHEET'!B16/'🏛 BALANCE SHEET'!B12,0)</f>
        <v>0.39892183288409705</v>
      </c>
      <c r="C17" s="62">
        <f>IFERROR('🏛 BALANCE SHEET'!C16/'🏛 BALANCE SHEET'!C12,0)</f>
        <v>0.45396039603960398</v>
      </c>
      <c r="D17" s="62">
        <f>IFERROR('🏛 BALANCE SHEET'!D16/'🏛 BALANCE SHEET'!D12,0)</f>
        <v>0.50759707371975238</v>
      </c>
    </row>
    <row r="18" spans="1:8" ht="15" customHeight="1" x14ac:dyDescent="0.25">
      <c r="A18" s="17" t="s">
        <v>329</v>
      </c>
      <c r="B18" s="62">
        <f>IFERROR('📈 P&amp;L'!B11/'🏛 BALANCE SHEET'!B12,0)</f>
        <v>0.15929919137466308</v>
      </c>
      <c r="C18" s="62">
        <f>IFERROR('📈 P&amp;L'!C11/'🏛 BALANCE SHEET'!C12,0)</f>
        <v>0.15643564356435644</v>
      </c>
      <c r="D18" s="62">
        <f>IFERROR('📈 P&amp;L'!D11/'🏛 BALANCE SHEET'!D12,0)</f>
        <v>0.16555993247045583</v>
      </c>
    </row>
    <row r="19" spans="1:8" ht="15" customHeight="1" x14ac:dyDescent="0.25">
      <c r="A19" s="17" t="s">
        <v>330</v>
      </c>
      <c r="B19" s="62">
        <f>IFERROR('🏛 BALANCE SHEET'!B17/('🏛 BALANCE SHEET'!B25-'🏛 BALANCE SHEET'!B17),0)</f>
        <v>1.2760736196319018</v>
      </c>
      <c r="C19" s="62">
        <f>IFERROR('🏛 BALANCE SHEET'!C17/('🏛 BALANCE SHEET'!C25-'🏛 BALANCE SHEET'!C17),0)</f>
        <v>1.5155666251556663</v>
      </c>
      <c r="D19" s="62">
        <f>IFERROR('🏛 BALANCE SHEET'!D17/('🏛 BALANCE SHEET'!D25-'🏛 BALANCE SHEET'!D17),0)</f>
        <v>1.7984251968503937</v>
      </c>
    </row>
    <row r="20" spans="1:8" ht="15" customHeight="1" x14ac:dyDescent="0.25">
      <c r="A20" s="38" t="s">
        <v>265</v>
      </c>
      <c r="B20" s="63">
        <f>6.56*B16+3.26*B17+6.72*B18+1.05*B19</f>
        <v>5.8061630148992114</v>
      </c>
      <c r="C20" s="63">
        <f>6.56*C16+3.26*C17+6.72*C18+1.05*C19</f>
        <v>6.3592360455223602</v>
      </c>
      <c r="D20" s="63">
        <f>6.56*D16+3.26*D17+6.72*D18+1.05*D19</f>
        <v>7.046365590063763</v>
      </c>
    </row>
    <row r="21" spans="1:8" ht="15" customHeight="1" x14ac:dyDescent="0.25">
      <c r="A21" s="11" t="s">
        <v>168</v>
      </c>
      <c r="B21" s="64" t="str">
        <f>IF(B20&gt;2.6,"✅ Safe Zone",IF(B20&gt;=1.1,"🟡 Grey Zone","🔴 Distress Zone"))</f>
        <v>✅ Safe Zone</v>
      </c>
      <c r="C21" s="64" t="str">
        <f>IF(C20&gt;2.6,"✅ Safe Zone",IF(C20&gt;=1.1,"🟡 Grey Zone","🔴 Distress Zone"))</f>
        <v>✅ Safe Zone</v>
      </c>
      <c r="D21" s="64" t="str">
        <f>IF(D20&gt;2.6,"✅ Safe Zone",IF(D20&gt;=1.1,"🟡 Grey Zone","🔴 Distress Zone"))</f>
        <v>✅ Safe Zone</v>
      </c>
    </row>
    <row r="23" spans="1:8" ht="21.75" customHeight="1" x14ac:dyDescent="0.25">
      <c r="A23" s="134" t="s">
        <v>331</v>
      </c>
      <c r="B23" s="134"/>
      <c r="C23" s="134"/>
      <c r="D23" s="134"/>
      <c r="E23" s="134"/>
      <c r="F23" s="134"/>
      <c r="G23" s="134"/>
      <c r="H23" s="134"/>
    </row>
    <row r="24" spans="1:8" ht="25.5" customHeight="1" x14ac:dyDescent="0.25">
      <c r="A24" s="16" t="s">
        <v>332</v>
      </c>
      <c r="B24" s="16" t="s">
        <v>333</v>
      </c>
      <c r="C24" s="16" t="s">
        <v>334</v>
      </c>
      <c r="D24" s="65"/>
      <c r="E24" s="65"/>
      <c r="F24" s="65"/>
      <c r="G24" s="66"/>
      <c r="H24" s="66"/>
    </row>
    <row r="25" spans="1:8" ht="15" customHeight="1" x14ac:dyDescent="0.25">
      <c r="A25" s="67" t="s">
        <v>335</v>
      </c>
      <c r="B25" s="68" t="str">
        <f>IF(AND(ABS('🏛 BALANCE SHEET'!B26)&lt;1,ABS('🏛 BALANCE SHEET'!C26)&lt;1,ABS('🏛 BALANCE SHEET'!D26)&lt;1),"✅ Pass","🔴 FAIL")</f>
        <v>✅ Pass</v>
      </c>
      <c r="C25" s="148" t="s">
        <v>336</v>
      </c>
      <c r="D25" s="148"/>
      <c r="E25" s="148"/>
      <c r="F25" s="148"/>
      <c r="G25" s="148"/>
      <c r="H25" s="148"/>
    </row>
    <row r="26" spans="1:8" ht="30" customHeight="1" x14ac:dyDescent="0.25">
      <c r="A26" s="67" t="s">
        <v>337</v>
      </c>
      <c r="B26" s="69" t="str">
        <f>IF(AND('📈 P&amp;L'!D4&gt;0,'🏛 BALANCE SHEET'!D12&gt;0,NOT(ISBLANK('🏛 BALANCE SHEET'!D17)),NOT(ISBLANK('🏛 BALANCE SHEET'!D9)),NOT(ISBLANK('🏛 BALANCE SHEET'!D8)),NOT(ISBLANK('🏛 BALANCE SHEET'!D20))),"✅ Pass","🔴 FAIL")</f>
        <v>✅ Pass</v>
      </c>
      <c r="C26" s="148" t="s">
        <v>338</v>
      </c>
      <c r="D26" s="148"/>
      <c r="E26" s="148"/>
      <c r="F26" s="148"/>
      <c r="G26" s="148"/>
      <c r="H26" s="148"/>
    </row>
    <row r="27" spans="1:8" ht="15.75" customHeight="1" x14ac:dyDescent="0.25">
      <c r="A27" s="67" t="s">
        <v>339</v>
      </c>
      <c r="B27" s="70" t="str">
        <f>IF(AND('📈 P&amp;L'!B4&gt;0,'📈 P&amp;L'!C4&gt;0,'📈 P&amp;L'!D4&gt;0),"✅ Pass","🟡 Incomplete History")</f>
        <v>✅ Pass</v>
      </c>
      <c r="C27" s="148" t="s">
        <v>340</v>
      </c>
      <c r="D27" s="148"/>
      <c r="E27" s="148"/>
      <c r="F27" s="148"/>
      <c r="G27" s="148"/>
      <c r="H27" s="148"/>
    </row>
    <row r="28" spans="1:8" ht="27" customHeight="1" x14ac:dyDescent="0.25">
      <c r="A28" s="11" t="s">
        <v>341</v>
      </c>
      <c r="B28" s="71" t="str">
        <f>IF(OR(B25="🔴 FAIL",B26="🔴 FAIL"),"🔴 INSUFFICIENT",IF(B27="🟡 Incomplete History","🟡 PARTIAL","✅ SUFFICIENT"))</f>
        <v>✅ SUFFICIENT</v>
      </c>
      <c r="C28" s="148" t="s">
        <v>342</v>
      </c>
      <c r="D28" s="148"/>
      <c r="E28" s="148"/>
      <c r="F28" s="148"/>
      <c r="G28" s="148"/>
      <c r="H28" s="148"/>
    </row>
    <row r="29" spans="1:8" ht="15" customHeight="1" x14ac:dyDescent="0.25">
      <c r="A29" s="72"/>
      <c r="B29" s="73"/>
      <c r="C29" s="74"/>
      <c r="D29" s="75"/>
      <c r="E29" s="76"/>
      <c r="F29" s="72"/>
      <c r="G29" s="66"/>
      <c r="H29" s="66"/>
    </row>
    <row r="30" spans="1:8" ht="21.75" customHeight="1" x14ac:dyDescent="0.25">
      <c r="A30" s="138" t="s">
        <v>343</v>
      </c>
      <c r="B30" s="138"/>
      <c r="C30" s="138"/>
      <c r="D30" s="138"/>
      <c r="E30" s="138"/>
      <c r="F30" s="138"/>
      <c r="G30" s="138"/>
      <c r="H30" s="138"/>
    </row>
    <row r="31" spans="1:8" ht="30" customHeight="1" x14ac:dyDescent="0.25">
      <c r="A31" s="16" t="s">
        <v>108</v>
      </c>
      <c r="B31" s="16" t="s">
        <v>344</v>
      </c>
      <c r="C31" s="16" t="s">
        <v>345</v>
      </c>
      <c r="D31" s="16" t="s">
        <v>109</v>
      </c>
      <c r="E31" s="77" t="s">
        <v>346</v>
      </c>
      <c r="F31" s="16" t="s">
        <v>347</v>
      </c>
      <c r="G31" s="66"/>
      <c r="H31" s="66"/>
    </row>
    <row r="32" spans="1:8" ht="15" customHeight="1" x14ac:dyDescent="0.25">
      <c r="A32" s="67" t="s">
        <v>110</v>
      </c>
      <c r="B32" s="78">
        <f>'📊 FINANCIAL RATIOS'!F22</f>
        <v>3.576595744680851</v>
      </c>
      <c r="C32" s="79">
        <f>IF(ISNUMBER(B32),IF(B32&gt;=1.5,3,IF(B32&gt;=1.25,2,1)),"N/A")</f>
        <v>3</v>
      </c>
      <c r="D32" s="80">
        <f>'🏢 VENDOR PROFILE'!$B$19</f>
        <v>0.25</v>
      </c>
      <c r="E32" s="81">
        <f t="shared" ref="E32:E37" si="0">IF(ISNUMBER(C32),C32*D32,"N/A")</f>
        <v>0.75</v>
      </c>
      <c r="F32" s="82" t="s">
        <v>348</v>
      </c>
      <c r="G32" s="66"/>
      <c r="H32" s="66"/>
    </row>
    <row r="33" spans="1:8" ht="21.75" customHeight="1" x14ac:dyDescent="0.25">
      <c r="A33" s="67" t="s">
        <v>112</v>
      </c>
      <c r="B33" s="78">
        <f>'📊 FINANCIAL RATIOS'!F5</f>
        <v>2.8221722003376479</v>
      </c>
      <c r="C33" s="79">
        <f>IF(ISNUMBER(B33),IF(B33&gt;=1.5,3,IF(B33&gt;=1,2,1)),"N/A")</f>
        <v>3</v>
      </c>
      <c r="D33" s="80">
        <f>'🏢 VENDOR PROFILE'!$B$20</f>
        <v>0.2</v>
      </c>
      <c r="E33" s="81">
        <f t="shared" si="0"/>
        <v>0.60000000000000009</v>
      </c>
      <c r="F33" s="82" t="s">
        <v>349</v>
      </c>
      <c r="G33" s="66"/>
      <c r="H33" s="66"/>
    </row>
    <row r="34" spans="1:8" ht="27.75" customHeight="1" x14ac:dyDescent="0.25">
      <c r="A34" s="67" t="s">
        <v>114</v>
      </c>
      <c r="B34" s="78">
        <f>'📊 FINANCIAL RATIOS'!F18</f>
        <v>1.3521695257315842</v>
      </c>
      <c r="C34" s="79">
        <f>IF(ISNUMBER(B34),IF(B34&gt;=1,3,IF(B34&gt;=0.8,2,1)),"N/A")</f>
        <v>3</v>
      </c>
      <c r="D34" s="80">
        <f>'🏢 VENDOR PROFILE'!$B$21</f>
        <v>0.2</v>
      </c>
      <c r="E34" s="81">
        <f t="shared" si="0"/>
        <v>0.60000000000000009</v>
      </c>
      <c r="F34" s="82" t="s">
        <v>350</v>
      </c>
      <c r="G34" s="66"/>
      <c r="H34" s="66"/>
    </row>
    <row r="35" spans="1:8" ht="15" customHeight="1" x14ac:dyDescent="0.25">
      <c r="A35" s="67" t="s">
        <v>116</v>
      </c>
      <c r="B35" s="78">
        <f>'📊 FINANCIAL RATIOS'!F7</f>
        <v>0.25919439579684761</v>
      </c>
      <c r="C35" s="79">
        <f>IF(ISNUMBER(B35),IF(B35&lt;=1.5,3,IF(B35&lt;=2.5,2,1)),"N/A")</f>
        <v>3</v>
      </c>
      <c r="D35" s="80">
        <f>'🏢 VENDOR PROFILE'!$B$22</f>
        <v>0.15</v>
      </c>
      <c r="E35" s="81">
        <f t="shared" si="0"/>
        <v>0.44999999999999996</v>
      </c>
      <c r="F35" s="82" t="s">
        <v>351</v>
      </c>
      <c r="G35" s="66"/>
      <c r="H35" s="66"/>
    </row>
    <row r="36" spans="1:8" ht="21.75" customHeight="1" x14ac:dyDescent="0.25">
      <c r="A36" s="67" t="s">
        <v>118</v>
      </c>
      <c r="B36" s="83">
        <f>'📊 FINANCIAL RATIOS'!F27</f>
        <v>57.045304523851428</v>
      </c>
      <c r="C36" s="79">
        <f>IF(AND(ISNUMBER(B36),ISNUMBER('📊 FINANCIAL RATIOS'!E27)),IF((B36-'📊 FINANCIAL RATIOS'!E27)&lt;=0,3,IF((B36-'📊 FINANCIAL RATIOS'!E27)&lt;=20,2,1)),"N/A")</f>
        <v>3</v>
      </c>
      <c r="D36" s="80">
        <f>'🏢 VENDOR PROFILE'!$B$23</f>
        <v>0.12</v>
      </c>
      <c r="E36" s="81">
        <f t="shared" si="0"/>
        <v>0.36</v>
      </c>
      <c r="F36" s="82" t="s">
        <v>352</v>
      </c>
      <c r="G36" s="66"/>
      <c r="H36" s="66"/>
    </row>
    <row r="37" spans="1:8" ht="15" customHeight="1" x14ac:dyDescent="0.25">
      <c r="A37" s="67" t="s">
        <v>120</v>
      </c>
      <c r="B37" s="84">
        <f>'📊 FINANCIAL RATIOS'!F12</f>
        <v>5.6693363844393593E-2</v>
      </c>
      <c r="C37" s="79">
        <f>IF(AND(ISNUMBER(B37),ISNUMBER('📊 FINANCIAL RATIOS'!D12)),IF(AND(B37&gt;='📊 FINANCIAL RATIOS'!D12,B37&gt;0),3,IF(B37&gt;0,2,1)),"N/A")</f>
        <v>3</v>
      </c>
      <c r="D37" s="80">
        <f>'🏢 VENDOR PROFILE'!$B$24</f>
        <v>0.08</v>
      </c>
      <c r="E37" s="81">
        <f t="shared" si="0"/>
        <v>0.24</v>
      </c>
      <c r="F37" s="82" t="s">
        <v>353</v>
      </c>
      <c r="G37" s="66"/>
      <c r="H37" s="66"/>
    </row>
    <row r="38" spans="1:8" ht="15" customHeight="1" x14ac:dyDescent="0.25">
      <c r="A38" s="36" t="s">
        <v>354</v>
      </c>
      <c r="B38" s="149"/>
      <c r="C38" s="149"/>
      <c r="D38" s="149"/>
      <c r="E38" s="86">
        <f>IF(COUNT(E32:E37)&lt;6,"N/A — Insufficient Data for Scoring",SUM(E32:E37))</f>
        <v>3</v>
      </c>
      <c r="F38" s="85"/>
      <c r="G38" s="66"/>
      <c r="H38" s="66"/>
    </row>
    <row r="39" spans="1:8" ht="15" customHeight="1" x14ac:dyDescent="0.25">
      <c r="A39" s="66"/>
      <c r="B39" s="66"/>
      <c r="C39" s="66"/>
      <c r="D39" s="66"/>
      <c r="E39" s="66"/>
      <c r="F39" s="66"/>
      <c r="G39" s="66"/>
      <c r="H39" s="66"/>
    </row>
    <row r="40" spans="1:8" ht="21.75" customHeight="1" x14ac:dyDescent="0.25">
      <c r="A40" s="134" t="s">
        <v>355</v>
      </c>
      <c r="B40" s="134"/>
      <c r="C40" s="134"/>
      <c r="D40" s="134"/>
      <c r="E40" s="134"/>
      <c r="F40" s="134"/>
      <c r="G40" s="134"/>
      <c r="H40" s="134"/>
    </row>
    <row r="41" spans="1:8" ht="21.75" customHeight="1" x14ac:dyDescent="0.25">
      <c r="A41" s="16" t="s">
        <v>356</v>
      </c>
      <c r="B41" s="16" t="s">
        <v>357</v>
      </c>
      <c r="C41" s="16" t="s">
        <v>358</v>
      </c>
      <c r="D41" s="16" t="s">
        <v>334</v>
      </c>
      <c r="E41" s="66"/>
      <c r="F41" s="66"/>
      <c r="G41" s="66"/>
      <c r="H41" s="66"/>
    </row>
    <row r="42" spans="1:8" ht="21.75" customHeight="1" x14ac:dyDescent="0.25">
      <c r="A42" s="67" t="s">
        <v>359</v>
      </c>
      <c r="B42" s="87" t="str">
        <f>IF('💵 CASH FLOW'!D5&lt;0,"🔴 YES","✅ No")</f>
        <v>✅ No</v>
      </c>
      <c r="C42" s="88" t="s">
        <v>360</v>
      </c>
      <c r="D42" s="135" t="s">
        <v>361</v>
      </c>
      <c r="E42" s="135"/>
      <c r="F42" s="135"/>
      <c r="G42" s="135"/>
      <c r="H42" s="135"/>
    </row>
    <row r="43" spans="1:8" ht="21.75" customHeight="1" x14ac:dyDescent="0.25">
      <c r="A43" s="67" t="s">
        <v>362</v>
      </c>
      <c r="B43" s="87" t="str">
        <f>IF('📈 P&amp;L'!D16&lt;0,"🔴 YES","✅ No")</f>
        <v>✅ No</v>
      </c>
      <c r="C43" s="21" t="s">
        <v>363</v>
      </c>
      <c r="D43" s="135" t="s">
        <v>364</v>
      </c>
      <c r="E43" s="135"/>
      <c r="F43" s="135"/>
      <c r="G43" s="135"/>
      <c r="H43" s="135"/>
    </row>
    <row r="44" spans="1:8" ht="21.75" customHeight="1" x14ac:dyDescent="0.25">
      <c r="A44" s="67" t="s">
        <v>365</v>
      </c>
      <c r="B44" s="87" t="str">
        <f>IF('🏛 BALANCE SHEET'!D17&lt;0,"🔴 YES","✅ No")</f>
        <v>✅ No</v>
      </c>
      <c r="C44" s="89" t="s">
        <v>366</v>
      </c>
      <c r="D44" s="135" t="s">
        <v>367</v>
      </c>
      <c r="E44" s="135"/>
      <c r="F44" s="135"/>
      <c r="G44" s="135"/>
      <c r="H44" s="135"/>
    </row>
    <row r="45" spans="1:8" ht="21.75" customHeight="1" x14ac:dyDescent="0.25">
      <c r="A45" s="67" t="s">
        <v>368</v>
      </c>
      <c r="B45" s="87" t="str">
        <f>IF(NOT(ISNUMBER('📊 FINANCIAL RATIOS'!F5)),"⚪ N/A",IF('📊 FINANCIAL RATIOS'!F5&lt;1,"🔴 YES","✅ No"))</f>
        <v>✅ No</v>
      </c>
      <c r="C45" s="21" t="s">
        <v>363</v>
      </c>
      <c r="D45" s="135" t="s">
        <v>369</v>
      </c>
      <c r="E45" s="135"/>
      <c r="F45" s="135"/>
      <c r="G45" s="135"/>
      <c r="H45" s="135"/>
    </row>
    <row r="46" spans="1:8" ht="21.75" customHeight="1" x14ac:dyDescent="0.25">
      <c r="A46" s="67" t="s">
        <v>370</v>
      </c>
      <c r="B46" s="87" t="str">
        <f>IF(NOT(ISNUMBER('📊 FINANCIAL RATIOS'!F7)),"⚪ N/A",IF('📊 FINANCIAL RATIOS'!F7&gt;2.5,"🔴 YES","✅ No"))</f>
        <v>✅ No</v>
      </c>
      <c r="C46" s="21" t="s">
        <v>363</v>
      </c>
      <c r="D46" s="135" t="s">
        <v>371</v>
      </c>
      <c r="E46" s="135"/>
      <c r="F46" s="135"/>
      <c r="G46" s="135"/>
      <c r="H46" s="135"/>
    </row>
    <row r="47" spans="1:8" ht="21.75" customHeight="1" x14ac:dyDescent="0.25">
      <c r="A47" s="67" t="s">
        <v>372</v>
      </c>
      <c r="B47" s="87" t="str">
        <f>IF('📈 P&amp;L'!D4&lt;'📈 P&amp;L'!C4,"🔴 YES","✅ No")</f>
        <v>✅ No</v>
      </c>
      <c r="C47" s="21" t="s">
        <v>363</v>
      </c>
      <c r="D47" s="135" t="s">
        <v>373</v>
      </c>
      <c r="E47" s="135"/>
      <c r="F47" s="135"/>
      <c r="G47" s="135"/>
      <c r="H47" s="135"/>
    </row>
    <row r="48" spans="1:8" ht="21.75" customHeight="1" x14ac:dyDescent="0.25">
      <c r="A48" s="67" t="s">
        <v>374</v>
      </c>
      <c r="B48" s="87" t="str">
        <f>IF('📈 P&amp;L'!D16&lt;'📈 P&amp;L'!C16,"🔴 YES","✅ No")</f>
        <v>✅ No</v>
      </c>
      <c r="C48" s="21" t="s">
        <v>363</v>
      </c>
      <c r="D48" s="135" t="s">
        <v>375</v>
      </c>
      <c r="E48" s="135"/>
      <c r="F48" s="135"/>
      <c r="G48" s="135"/>
      <c r="H48" s="135"/>
    </row>
    <row r="49" spans="1:8" ht="21.75" customHeight="1" x14ac:dyDescent="0.25">
      <c r="A49" s="67" t="s">
        <v>376</v>
      </c>
      <c r="B49" s="87" t="str">
        <f>IF(NOT(ISNUMBER('📊 FINANCIAL RATIOS'!F22)),"⚪ N/A",IF('📊 FINANCIAL RATIOS'!F22&lt;1,"🔴 YES","✅ No"))</f>
        <v>✅ No</v>
      </c>
      <c r="C49" s="89" t="s">
        <v>366</v>
      </c>
      <c r="D49" s="135" t="s">
        <v>377</v>
      </c>
      <c r="E49" s="135"/>
      <c r="F49" s="135"/>
      <c r="G49" s="135"/>
      <c r="H49" s="135"/>
    </row>
    <row r="50" spans="1:8" ht="21.75" customHeight="1" x14ac:dyDescent="0.25">
      <c r="A50" s="67" t="s">
        <v>378</v>
      </c>
      <c r="B50" s="87" t="str">
        <f>IF(OR(NOT(ISNUMBER('📊 FINANCIAL RATIOS'!F26)),NOT(ISNUMBER('📊 FINANCIAL RATIOS'!E26))),"⚪ N/A",IF('📊 FINANCIAL RATIOS'!F26&gt;'📊 FINANCIAL RATIOS'!E26*1.2,"🔴 YES","✅ No"))</f>
        <v>✅ No</v>
      </c>
      <c r="C50" s="21" t="s">
        <v>363</v>
      </c>
      <c r="D50" s="135" t="s">
        <v>379</v>
      </c>
      <c r="E50" s="135"/>
      <c r="F50" s="135"/>
      <c r="G50" s="135"/>
      <c r="H50" s="135"/>
    </row>
    <row r="51" spans="1:8" ht="15" customHeight="1" x14ac:dyDescent="0.25">
      <c r="A51" s="11" t="s">
        <v>380</v>
      </c>
      <c r="B51" s="90">
        <f>COUNTIF(B42:B50,"🔴 YES")</f>
        <v>0</v>
      </c>
      <c r="C51" s="66"/>
      <c r="D51" s="146" t="s">
        <v>381</v>
      </c>
      <c r="E51" s="146"/>
      <c r="F51" s="146"/>
      <c r="G51" s="146"/>
      <c r="H51" s="146"/>
    </row>
    <row r="52" spans="1:8" ht="15" customHeight="1" x14ac:dyDescent="0.25">
      <c r="A52" s="91" t="s">
        <v>382</v>
      </c>
      <c r="B52" s="92">
        <f>SUMPRODUCT((C42:C50="🔴 CRITICAL")*(B42:B50="🔴 YES"))</f>
        <v>0</v>
      </c>
      <c r="C52" s="66"/>
      <c r="D52" s="147" t="s">
        <v>383</v>
      </c>
      <c r="E52" s="147"/>
      <c r="F52" s="147"/>
      <c r="G52" s="147"/>
      <c r="H52" s="147"/>
    </row>
    <row r="53" spans="1:8" ht="15" customHeight="1" x14ac:dyDescent="0.25">
      <c r="A53" s="66"/>
      <c r="B53" s="66"/>
      <c r="C53" s="66"/>
      <c r="D53" s="66"/>
      <c r="E53" s="66"/>
      <c r="F53" s="66"/>
      <c r="G53" s="66"/>
      <c r="H53" s="66"/>
    </row>
    <row r="54" spans="1:8" ht="21.75" customHeight="1" x14ac:dyDescent="0.25">
      <c r="A54" s="141" t="s">
        <v>384</v>
      </c>
      <c r="B54" s="141"/>
      <c r="C54" s="141"/>
      <c r="D54" s="141"/>
      <c r="E54" s="141"/>
      <c r="F54" s="141"/>
      <c r="G54" s="141"/>
      <c r="H54" s="141"/>
    </row>
    <row r="55" spans="1:8" ht="30" customHeight="1" x14ac:dyDescent="0.25">
      <c r="A55" s="44" t="s">
        <v>385</v>
      </c>
      <c r="B55" s="145" t="str">
        <f>IF(B28="🔴 INSUFFICIENT","⚪ INSUFFICIENT DATA – FURTHER INFORMATION REQUIRED",IF(NOT(ISNUMBER(E38)),"⚪ INSUFFICIENT DATA – FURTHER INFORMATION REQUIRED (one or more scoring inputs could not be calculated)",IF(B52&gt;=1,"🔴 REJECT / HIGH RISK — Critical red flag(s) detected, overriding the numeric score",IF(E38&gt;=2.4,"✅ APPROVE — Financially sound, proceed with standard terms",IF(E38&gt;=1.7,"🟡 APPROVE WITH CONDITIONS — Proceed with safeguards","🔴 REJECT / HIGH RISK — Financial risk too high without remediation")))))</f>
        <v>✅ APPROVE — Financially sound, proceed with standard terms</v>
      </c>
      <c r="C55" s="145"/>
      <c r="D55" s="145"/>
      <c r="E55" s="145"/>
      <c r="F55" s="145"/>
      <c r="G55" s="145"/>
      <c r="H55" s="145"/>
    </row>
    <row r="56" spans="1:8" ht="15" customHeight="1" x14ac:dyDescent="0.25">
      <c r="A56" s="66"/>
      <c r="B56" s="66"/>
      <c r="C56" s="66"/>
      <c r="D56" s="66"/>
      <c r="E56" s="66"/>
      <c r="F56" s="66"/>
      <c r="G56" s="66"/>
      <c r="H56" s="66"/>
    </row>
    <row r="57" spans="1:8" ht="21.75" customHeight="1" x14ac:dyDescent="0.25">
      <c r="A57" s="132" t="s">
        <v>386</v>
      </c>
      <c r="B57" s="132"/>
      <c r="C57" s="132"/>
      <c r="D57" s="132"/>
      <c r="E57" s="132"/>
      <c r="F57" s="132"/>
      <c r="G57" s="132"/>
      <c r="H57" s="132"/>
    </row>
    <row r="58" spans="1:8" ht="15" customHeight="1" x14ac:dyDescent="0.25">
      <c r="A58" s="67" t="s">
        <v>387</v>
      </c>
      <c r="B58" s="144" t="str">
        <f>IF(NOT(ISNUMBER(C32)),"N/A — cannot assess",IF(C32&lt;3,"✓ Recommended","Not needed"))</f>
        <v>Not needed</v>
      </c>
      <c r="C58" s="144"/>
      <c r="D58" s="144"/>
      <c r="E58" s="144"/>
      <c r="F58" s="144"/>
      <c r="G58" s="144"/>
      <c r="H58" s="144"/>
    </row>
    <row r="59" spans="1:8" ht="15" customHeight="1" x14ac:dyDescent="0.25">
      <c r="A59" s="67" t="s">
        <v>388</v>
      </c>
      <c r="B59" s="144" t="str">
        <f>IF(NOT(ISNUMBER(C33)),"N/A — cannot assess",IF(C33&lt;3,"✓ Recommended","Not needed"))</f>
        <v>Not needed</v>
      </c>
      <c r="C59" s="144"/>
      <c r="D59" s="144"/>
      <c r="E59" s="144"/>
      <c r="F59" s="144"/>
      <c r="G59" s="144"/>
      <c r="H59" s="144"/>
    </row>
    <row r="60" spans="1:8" ht="15" customHeight="1" x14ac:dyDescent="0.25">
      <c r="A60" s="67" t="s">
        <v>389</v>
      </c>
      <c r="B60" s="144" t="str">
        <f>IF(NOT(ISNUMBER(C34)),"N/A — cannot assess",IF(C34&lt;3,"✓ Recommended","Not needed"))</f>
        <v>Not needed</v>
      </c>
      <c r="C60" s="144"/>
      <c r="D60" s="144"/>
      <c r="E60" s="144"/>
      <c r="F60" s="144"/>
      <c r="G60" s="144"/>
      <c r="H60" s="144"/>
    </row>
    <row r="61" spans="1:8" ht="15" customHeight="1" x14ac:dyDescent="0.25">
      <c r="A61" s="67" t="s">
        <v>390</v>
      </c>
      <c r="B61" s="144" t="str">
        <f>IF(NOT(ISNUMBER(C35)),"N/A — cannot assess",IF(C35&lt;3,"✓ Recommended","Not needed"))</f>
        <v>Not needed</v>
      </c>
      <c r="C61" s="144"/>
      <c r="D61" s="144"/>
      <c r="E61" s="144"/>
      <c r="F61" s="144"/>
      <c r="G61" s="144"/>
      <c r="H61" s="144"/>
    </row>
    <row r="62" spans="1:8" ht="15" customHeight="1" x14ac:dyDescent="0.25">
      <c r="A62" s="67" t="s">
        <v>391</v>
      </c>
      <c r="B62" s="144" t="str">
        <f>IF(NOT(ISNUMBER(C36)),"N/A — cannot assess",IF(C36&lt;3,"✓ Recommended","Not needed"))</f>
        <v>Not needed</v>
      </c>
      <c r="C62" s="144"/>
      <c r="D62" s="144"/>
      <c r="E62" s="144"/>
      <c r="F62" s="144"/>
      <c r="G62" s="144"/>
      <c r="H62" s="144"/>
    </row>
    <row r="63" spans="1:8" ht="15" customHeight="1" x14ac:dyDescent="0.25">
      <c r="A63" s="67" t="s">
        <v>392</v>
      </c>
      <c r="B63" s="144" t="str">
        <f>IF(B52&gt;=1,"✓ Recommended","Not needed")</f>
        <v>Not needed</v>
      </c>
      <c r="C63" s="144"/>
      <c r="D63" s="144"/>
      <c r="E63" s="144"/>
      <c r="F63" s="144"/>
      <c r="G63" s="144"/>
      <c r="H63" s="144"/>
    </row>
    <row r="64" spans="1:8" ht="15" customHeight="1" x14ac:dyDescent="0.25">
      <c r="A64" s="66"/>
      <c r="B64" s="66"/>
      <c r="C64" s="66"/>
      <c r="D64" s="66"/>
      <c r="E64" s="66"/>
      <c r="F64" s="66"/>
      <c r="G64" s="66"/>
      <c r="H64" s="66"/>
    </row>
    <row r="65" spans="1:8" ht="21.75" customHeight="1" x14ac:dyDescent="0.25">
      <c r="A65" s="132" t="s">
        <v>393</v>
      </c>
      <c r="B65" s="132"/>
      <c r="C65" s="132"/>
      <c r="D65" s="132"/>
      <c r="E65" s="132"/>
      <c r="F65" s="132"/>
      <c r="G65" s="132"/>
      <c r="H65" s="132"/>
    </row>
    <row r="66" spans="1:8" ht="15" customHeight="1" x14ac:dyDescent="0.25">
      <c r="A66" s="67" t="s">
        <v>306</v>
      </c>
      <c r="B66" s="93">
        <f>'📊 FINANCIAL RATIOS'!F30</f>
        <v>0.14302059496567507</v>
      </c>
      <c r="C66" s="143" t="str">
        <f>IF(B66&lt;=0.25,"✅ Low dependency — manageable share of their revenue",IF(B66&lt;=0.4,"🟡 Moderate dependency — consider a secondary source or phased ramp-up","🔴 High dependency — you would become critical to their survival"))</f>
        <v>✅ Low dependency — manageable share of their revenue</v>
      </c>
      <c r="D66" s="143"/>
      <c r="E66" s="143"/>
      <c r="F66" s="143"/>
      <c r="G66" s="143"/>
      <c r="H66" s="143"/>
    </row>
    <row r="67" spans="1:8" ht="15" customHeight="1" x14ac:dyDescent="0.25">
      <c r="A67" s="67" t="s">
        <v>309</v>
      </c>
      <c r="B67" s="93">
        <f>'📊 FINANCIAL RATIOS'!F31</f>
        <v>0.43782837127845886</v>
      </c>
      <c r="C67" s="143" t="str">
        <f>IF(B67&lt;=0.2,"✅ Low — a dispute or bad debt would not meaningfully impair their capital base",IF(B67&lt;=0.4,"🟡 Moderate — a significant dispute could strain their net worth","🔴 High — even a moderate dispute could destabilise this vendor"))</f>
        <v>🔴 High — even a moderate dispute could destabilise this vendor</v>
      </c>
      <c r="D67" s="143"/>
      <c r="E67" s="143"/>
      <c r="F67" s="143"/>
      <c r="G67" s="143"/>
      <c r="H67" s="143"/>
    </row>
    <row r="68" spans="1:8" ht="15" customHeight="1" x14ac:dyDescent="0.25">
      <c r="A68" s="66"/>
      <c r="B68" s="66"/>
      <c r="C68" s="66"/>
      <c r="D68" s="66"/>
      <c r="E68" s="66"/>
      <c r="F68" s="66"/>
      <c r="G68" s="66"/>
      <c r="H68" s="66"/>
    </row>
    <row r="69" spans="1:8" ht="42" customHeight="1" x14ac:dyDescent="0.25">
      <c r="A69" s="135" t="s">
        <v>394</v>
      </c>
      <c r="B69" s="135"/>
      <c r="C69" s="135"/>
      <c r="D69" s="135"/>
      <c r="E69" s="135"/>
      <c r="F69" s="135"/>
      <c r="G69" s="135"/>
      <c r="H69" s="135"/>
    </row>
  </sheetData>
  <sheetProtection algorithmName="SHA-512" hashValue="NVLK6zWieYnhjknuqrQ9iuHRcf5kYlGqVZrrlLGQJ7v//GhB3KB749Gs1FBiJzBWG1UEJxXOaHgFxDQm1gsw8g==" saltValue="FY8t/ayPTpLjwxtGhpd6OQ==" spinCount="100000" sheet="1" objects="1" scenarios="1"/>
  <mergeCells count="38">
    <mergeCell ref="A1:D1"/>
    <mergeCell ref="A2:D2"/>
    <mergeCell ref="A3:D3"/>
    <mergeCell ref="A4:D4"/>
    <mergeCell ref="A13:D13"/>
    <mergeCell ref="A14:D14"/>
    <mergeCell ref="A23:H23"/>
    <mergeCell ref="C25:H25"/>
    <mergeCell ref="C26:H26"/>
    <mergeCell ref="C27:H27"/>
    <mergeCell ref="C28:H28"/>
    <mergeCell ref="A30:H30"/>
    <mergeCell ref="B38:D38"/>
    <mergeCell ref="A40:H40"/>
    <mergeCell ref="D42:H42"/>
    <mergeCell ref="D43:H43"/>
    <mergeCell ref="D44:H44"/>
    <mergeCell ref="D45:H45"/>
    <mergeCell ref="D46:H46"/>
    <mergeCell ref="D47:H47"/>
    <mergeCell ref="D48:H48"/>
    <mergeCell ref="D49:H49"/>
    <mergeCell ref="D50:H50"/>
    <mergeCell ref="D51:H51"/>
    <mergeCell ref="D52:H52"/>
    <mergeCell ref="A54:H54"/>
    <mergeCell ref="B55:H55"/>
    <mergeCell ref="A57:H57"/>
    <mergeCell ref="B58:H58"/>
    <mergeCell ref="B59:H59"/>
    <mergeCell ref="C66:H66"/>
    <mergeCell ref="C67:H67"/>
    <mergeCell ref="A69:H69"/>
    <mergeCell ref="B60:H60"/>
    <mergeCell ref="B61:H61"/>
    <mergeCell ref="B62:H62"/>
    <mergeCell ref="B63:H63"/>
    <mergeCell ref="A65:H65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C3483"/>
  </sheetPr>
  <dimension ref="A1:N69"/>
  <sheetViews>
    <sheetView zoomScaleNormal="100" workbookViewId="0">
      <pane ySplit="3" topLeftCell="A34" activePane="bottomLeft" state="frozen"/>
      <selection pane="bottomLeft" sqref="A1:XFD1048576"/>
    </sheetView>
  </sheetViews>
  <sheetFormatPr defaultColWidth="8.7109375" defaultRowHeight="15" x14ac:dyDescent="0.25"/>
  <cols>
    <col min="1" max="1" width="40.42578125" style="1" customWidth="1"/>
    <col min="2" max="2" width="16.7109375" style="1" customWidth="1"/>
    <col min="3" max="3" width="13.28515625" style="1" customWidth="1"/>
    <col min="4" max="7" width="16" style="1" customWidth="1"/>
    <col min="8" max="9" width="13" style="1" customWidth="1"/>
    <col min="10" max="16384" width="8.7109375" style="1"/>
  </cols>
  <sheetData>
    <row r="1" spans="1:14" ht="30" customHeight="1" x14ac:dyDescent="0.25">
      <c r="A1" s="153" t="s">
        <v>395</v>
      </c>
      <c r="B1" s="153"/>
      <c r="C1" s="153"/>
      <c r="D1" s="153"/>
      <c r="E1" s="153"/>
      <c r="F1" s="153"/>
      <c r="G1" s="153"/>
      <c r="H1" s="153"/>
      <c r="I1" s="153"/>
      <c r="J1" s="104"/>
      <c r="K1" s="104"/>
      <c r="L1" s="104"/>
      <c r="M1" s="104"/>
      <c r="N1" s="104"/>
    </row>
    <row r="2" spans="1:14" ht="3.75" customHeight="1" x14ac:dyDescent="0.25">
      <c r="A2" s="94"/>
      <c r="B2" s="94"/>
      <c r="C2" s="94"/>
      <c r="D2" s="94"/>
      <c r="E2" s="94"/>
      <c r="F2" s="94"/>
      <c r="G2" s="94"/>
      <c r="H2" s="94"/>
      <c r="I2" s="94"/>
    </row>
    <row r="3" spans="1:14" ht="24" customHeight="1" x14ac:dyDescent="0.25">
      <c r="A3" s="95"/>
      <c r="B3" s="66"/>
      <c r="C3" s="66"/>
      <c r="D3" s="66"/>
      <c r="E3" s="66"/>
      <c r="F3" s="66"/>
      <c r="G3" s="66"/>
      <c r="H3" s="66"/>
      <c r="I3" s="66"/>
    </row>
    <row r="4" spans="1:14" ht="33.75" customHeight="1" x14ac:dyDescent="0.25">
      <c r="A4" s="168" t="s">
        <v>396</v>
      </c>
      <c r="B4" s="168"/>
      <c r="C4" s="168"/>
      <c r="D4" s="168"/>
      <c r="E4" s="168"/>
      <c r="F4" s="168"/>
      <c r="G4" s="168"/>
      <c r="H4" s="168"/>
      <c r="I4" s="168"/>
    </row>
    <row r="5" spans="1:14" ht="18" customHeight="1" x14ac:dyDescent="0.25">
      <c r="A5" s="169" t="s">
        <v>354</v>
      </c>
      <c r="B5" s="169"/>
      <c r="C5" s="169"/>
      <c r="D5" s="169"/>
      <c r="E5" s="169" t="s">
        <v>397</v>
      </c>
      <c r="F5" s="169"/>
      <c r="G5" s="169"/>
      <c r="H5" s="169"/>
      <c r="I5" s="169"/>
    </row>
    <row r="6" spans="1:14" ht="30" customHeight="1" x14ac:dyDescent="0.25">
      <c r="A6" s="170">
        <f>'🎯 RISK ASSESSMENT &amp; SCORING'!$E$38</f>
        <v>3</v>
      </c>
      <c r="B6" s="170"/>
      <c r="C6" s="170"/>
      <c r="D6" s="170"/>
      <c r="E6" s="171" t="str">
        <f>IF('🎯 RISK ASSESSMENT &amp; SCORING'!B28="🔴 INSUFFICIENT","⚪ DATA INSUFFICIENT",IF(NOT(ISNUMBER('🎯 RISK ASSESSMENT &amp; SCORING'!$E$38)),"⚪ DATA INSUFFICIENT",IF('🎯 RISK ASSESSMENT &amp; SCORING'!B52&gt;=1,"🔴 HIGH RISK",IF('🎯 RISK ASSESSMENT &amp; SCORING'!$E$38&gt;=2.4,"🟢 LOW RISK",IF('🎯 RISK ASSESSMENT &amp; SCORING'!$E$38&gt;=1.7,"🟡 MODERATE RISK","🔴 HIGH RISK")))))</f>
        <v>🟢 LOW RISK</v>
      </c>
      <c r="F6" s="171"/>
      <c r="G6" s="171"/>
      <c r="H6" s="171"/>
      <c r="I6" s="171"/>
    </row>
    <row r="7" spans="1:14" ht="30" customHeight="1" x14ac:dyDescent="0.25">
      <c r="A7" s="170"/>
      <c r="B7" s="170"/>
      <c r="C7" s="170"/>
      <c r="D7" s="170"/>
      <c r="E7" s="171"/>
      <c r="F7" s="171"/>
      <c r="G7" s="171"/>
      <c r="H7" s="171"/>
      <c r="I7" s="171"/>
    </row>
    <row r="8" spans="1:14" ht="19.5" customHeight="1" x14ac:dyDescent="0.25">
      <c r="A8" s="72"/>
      <c r="B8" s="76"/>
      <c r="C8" s="66"/>
      <c r="D8" s="66"/>
      <c r="E8" s="66"/>
      <c r="F8" s="66"/>
      <c r="G8" s="66"/>
      <c r="H8" s="66"/>
      <c r="I8" s="66"/>
    </row>
    <row r="9" spans="1:14" ht="25.5" customHeight="1" x14ac:dyDescent="0.25">
      <c r="A9" s="163" t="s">
        <v>398</v>
      </c>
      <c r="B9" s="163"/>
      <c r="C9" s="163"/>
      <c r="D9" s="163"/>
      <c r="E9" s="163"/>
      <c r="F9" s="163"/>
      <c r="G9" s="163"/>
      <c r="H9" s="163"/>
      <c r="I9" s="163"/>
    </row>
    <row r="10" spans="1:14" ht="25.5" customHeight="1" x14ac:dyDescent="0.25">
      <c r="A10" s="164" t="str">
        <f>'🎯 RISK ASSESSMENT &amp; SCORING'!B55</f>
        <v>✅ APPROVE — Financially sound, proceed with standard terms</v>
      </c>
      <c r="B10" s="164"/>
      <c r="C10" s="164"/>
      <c r="D10" s="164"/>
      <c r="E10" s="164"/>
      <c r="F10" s="164"/>
      <c r="G10" s="164"/>
      <c r="H10" s="164"/>
      <c r="I10" s="164"/>
    </row>
    <row r="11" spans="1:14" ht="25.5" customHeight="1" x14ac:dyDescent="0.25">
      <c r="A11" s="164"/>
      <c r="B11" s="164"/>
      <c r="C11" s="164"/>
      <c r="D11" s="164"/>
      <c r="E11" s="164"/>
      <c r="F11" s="164"/>
      <c r="G11" s="164"/>
      <c r="H11" s="164"/>
      <c r="I11" s="164"/>
    </row>
    <row r="12" spans="1:14" ht="25.5" customHeight="1" x14ac:dyDescent="0.25">
      <c r="A12" s="164"/>
      <c r="B12" s="164"/>
      <c r="C12" s="164"/>
      <c r="D12" s="164"/>
      <c r="E12" s="164"/>
      <c r="F12" s="164"/>
      <c r="G12" s="164"/>
      <c r="H12" s="164"/>
      <c r="I12" s="164"/>
    </row>
    <row r="13" spans="1:14" ht="15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</row>
    <row r="14" spans="1:14" ht="25.5" customHeight="1" x14ac:dyDescent="0.25">
      <c r="A14" s="152" t="s">
        <v>399</v>
      </c>
      <c r="B14" s="152"/>
      <c r="C14" s="152"/>
      <c r="D14" s="152"/>
      <c r="E14" s="152"/>
      <c r="F14" s="152"/>
      <c r="G14" s="152"/>
      <c r="H14" s="152"/>
      <c r="I14" s="152"/>
    </row>
    <row r="15" spans="1:14" ht="21.75" customHeight="1" x14ac:dyDescent="0.25">
      <c r="A15" s="96" t="s">
        <v>380</v>
      </c>
      <c r="B15" s="165">
        <f>'🎯 RISK ASSESSMENT &amp; SCORING'!B51</f>
        <v>0</v>
      </c>
      <c r="C15" s="165"/>
      <c r="D15" s="96" t="s">
        <v>400</v>
      </c>
      <c r="E15" s="166">
        <f>'🎯 RISK ASSESSMENT &amp; SCORING'!B52</f>
        <v>0</v>
      </c>
      <c r="F15" s="166"/>
      <c r="G15" s="96" t="s">
        <v>401</v>
      </c>
      <c r="H15" s="167" t="str">
        <f>'🎯 RISK ASSESSMENT &amp; SCORING'!B28</f>
        <v>✅ SUFFICIENT</v>
      </c>
      <c r="I15" s="167"/>
    </row>
    <row r="16" spans="1:14" ht="21.75" customHeight="1" x14ac:dyDescent="0.25">
      <c r="A16" s="72"/>
      <c r="B16" s="66"/>
      <c r="C16" s="66"/>
      <c r="D16" s="66"/>
      <c r="E16" s="66"/>
      <c r="F16" s="66"/>
      <c r="G16" s="66"/>
      <c r="H16" s="66"/>
      <c r="I16" s="66"/>
    </row>
    <row r="17" spans="1:9" ht="25.5" customHeight="1" x14ac:dyDescent="0.25">
      <c r="A17" s="151" t="s">
        <v>402</v>
      </c>
      <c r="B17" s="151"/>
      <c r="C17" s="151"/>
      <c r="D17" s="151"/>
      <c r="E17" s="151"/>
      <c r="F17" s="151"/>
      <c r="G17" s="151"/>
      <c r="H17" s="151"/>
      <c r="I17" s="151"/>
    </row>
    <row r="18" spans="1:9" ht="19.5" customHeight="1" x14ac:dyDescent="0.25">
      <c r="A18" s="96" t="s">
        <v>403</v>
      </c>
      <c r="B18" s="160">
        <f>'📊 FINANCIAL RATIOS'!$F$5</f>
        <v>2.8221722003376479</v>
      </c>
      <c r="C18" s="160"/>
      <c r="D18" s="66"/>
      <c r="E18" s="66"/>
      <c r="F18" s="66"/>
      <c r="G18" s="66"/>
      <c r="H18" s="66"/>
      <c r="I18" s="66"/>
    </row>
    <row r="19" spans="1:9" ht="19.5" customHeight="1" x14ac:dyDescent="0.25">
      <c r="A19" s="96" t="s">
        <v>404</v>
      </c>
      <c r="B19" s="160">
        <f>'📊 FINANCIAL RATIOS'!$F$22</f>
        <v>3.576595744680851</v>
      </c>
      <c r="C19" s="160"/>
      <c r="D19" s="66"/>
      <c r="E19" s="66"/>
      <c r="F19" s="66"/>
      <c r="G19" s="66"/>
      <c r="H19" s="66"/>
      <c r="I19" s="66"/>
    </row>
    <row r="20" spans="1:9" ht="19.5" customHeight="1" x14ac:dyDescent="0.25">
      <c r="A20" s="96" t="s">
        <v>405</v>
      </c>
      <c r="B20" s="161">
        <f>'📊 FINANCIAL RATIOS'!$F$7</f>
        <v>0.25919439579684761</v>
      </c>
      <c r="C20" s="161"/>
      <c r="D20" s="66"/>
      <c r="E20" s="66"/>
      <c r="F20" s="66"/>
      <c r="G20" s="66"/>
      <c r="H20" s="66"/>
      <c r="I20" s="66"/>
    </row>
    <row r="21" spans="1:9" ht="19.5" customHeight="1" x14ac:dyDescent="0.25">
      <c r="A21" s="96" t="s">
        <v>406</v>
      </c>
      <c r="B21" s="162">
        <f>'📊 FINANCIAL RATIOS'!$F$17</f>
        <v>950000</v>
      </c>
      <c r="C21" s="162"/>
      <c r="D21" s="66"/>
      <c r="E21" s="66"/>
      <c r="F21" s="66"/>
      <c r="G21" s="66"/>
      <c r="H21" s="66"/>
      <c r="I21" s="66"/>
    </row>
    <row r="22" spans="1:9" ht="19.5" customHeight="1" x14ac:dyDescent="0.25">
      <c r="A22" s="96" t="s">
        <v>407</v>
      </c>
      <c r="B22" s="158">
        <f>'📊 FINANCIAL RATIOS'!$F$8</f>
        <v>7.046365590063763</v>
      </c>
      <c r="C22" s="158"/>
      <c r="D22" s="66"/>
      <c r="E22" s="66"/>
      <c r="F22" s="66"/>
      <c r="G22" s="66"/>
      <c r="H22" s="66"/>
      <c r="I22" s="66"/>
    </row>
    <row r="23" spans="1:9" ht="19.5" customHeight="1" x14ac:dyDescent="0.25">
      <c r="A23" s="96" t="s">
        <v>306</v>
      </c>
      <c r="B23" s="159">
        <f>'🎯 RISK ASSESSMENT &amp; SCORING'!$B$66</f>
        <v>0.14302059496567507</v>
      </c>
      <c r="C23" s="159"/>
      <c r="D23" s="66"/>
      <c r="E23" s="66"/>
      <c r="F23" s="66"/>
      <c r="G23" s="66"/>
      <c r="H23" s="66"/>
      <c r="I23" s="66"/>
    </row>
    <row r="24" spans="1:9" ht="19.5" customHeight="1" x14ac:dyDescent="0.25">
      <c r="A24" s="96" t="s">
        <v>309</v>
      </c>
      <c r="B24" s="159">
        <f>'🎯 RISK ASSESSMENT &amp; SCORING'!$B$67</f>
        <v>0.43782837127845886</v>
      </c>
      <c r="C24" s="159"/>
      <c r="D24" s="66"/>
      <c r="E24" s="66"/>
      <c r="F24" s="66"/>
      <c r="G24" s="66"/>
      <c r="H24" s="66"/>
      <c r="I24" s="66"/>
    </row>
    <row r="25" spans="1:9" ht="19.5" customHeight="1" x14ac:dyDescent="0.25">
      <c r="A25" s="72"/>
      <c r="B25" s="76"/>
      <c r="C25" s="66"/>
      <c r="D25" s="66"/>
      <c r="E25" s="66"/>
      <c r="F25" s="66"/>
      <c r="G25" s="66"/>
      <c r="H25" s="66"/>
      <c r="I25" s="66"/>
    </row>
    <row r="26" spans="1:9" ht="25.5" customHeight="1" x14ac:dyDescent="0.25">
      <c r="A26" s="150" t="s">
        <v>408</v>
      </c>
      <c r="B26" s="150"/>
      <c r="C26" s="150"/>
      <c r="D26" s="150"/>
      <c r="E26" s="150"/>
      <c r="F26" s="150"/>
      <c r="G26" s="150"/>
      <c r="H26" s="150"/>
      <c r="I26" s="150"/>
    </row>
    <row r="27" spans="1:9" ht="28.5" customHeight="1" x14ac:dyDescent="0.25">
      <c r="A27" s="96" t="str">
        <f>'🎯 RISK ASSESSMENT &amp; SCORING'!A58</f>
        <v>Require bank guarantee / letter of credit</v>
      </c>
      <c r="B27" s="155" t="str">
        <f>'🎯 RISK ASSESSMENT &amp; SCORING'!B58</f>
        <v>Not needed</v>
      </c>
      <c r="C27" s="155"/>
      <c r="D27" s="66"/>
      <c r="E27" s="66"/>
      <c r="F27" s="66"/>
      <c r="G27" s="66"/>
      <c r="H27" s="66"/>
      <c r="I27" s="66"/>
    </row>
    <row r="28" spans="1:9" ht="25.5" customHeight="1" x14ac:dyDescent="0.25">
      <c r="A28" s="96" t="str">
        <f>'🎯 RISK ASSESSMENT &amp; SCORING'!A59</f>
        <v>Require advance payment (30-50%) before dispatch</v>
      </c>
      <c r="B28" s="154" t="str">
        <f>'🎯 RISK ASSESSMENT &amp; SCORING'!B59</f>
        <v>Not needed</v>
      </c>
      <c r="C28" s="154"/>
      <c r="D28" s="66"/>
      <c r="E28" s="66"/>
      <c r="F28" s="66"/>
      <c r="G28" s="66"/>
      <c r="H28" s="66"/>
      <c r="I28" s="66"/>
    </row>
    <row r="29" spans="1:9" ht="19.5" customHeight="1" x14ac:dyDescent="0.25">
      <c r="A29" s="96" t="str">
        <f>'🎯 RISK ASSESSMENT &amp; SCORING'!A60</f>
        <v>Verify cash flow statements each quarter</v>
      </c>
      <c r="B29" s="155" t="str">
        <f>'🎯 RISK ASSESSMENT &amp; SCORING'!B60</f>
        <v>Not needed</v>
      </c>
      <c r="C29" s="155"/>
      <c r="D29" s="66"/>
      <c r="E29" s="66"/>
      <c r="F29" s="66"/>
      <c r="G29" s="66"/>
      <c r="H29" s="66"/>
      <c r="I29" s="66"/>
    </row>
    <row r="30" spans="1:9" ht="19.5" customHeight="1" x14ac:dyDescent="0.25">
      <c r="A30" s="96" t="str">
        <f>'🎯 RISK ASSESSMENT &amp; SCORING'!A61</f>
        <v>Cap credit period; monitor leverage quarterly</v>
      </c>
      <c r="B30" s="154" t="str">
        <f>'🎯 RISK ASSESSMENT &amp; SCORING'!B61</f>
        <v>Not needed</v>
      </c>
      <c r="C30" s="154"/>
      <c r="D30" s="65"/>
      <c r="E30" s="66"/>
      <c r="F30" s="66"/>
      <c r="G30" s="66"/>
      <c r="H30" s="66"/>
      <c r="I30" s="66"/>
    </row>
    <row r="31" spans="1:9" ht="19.5" customHeight="1" x14ac:dyDescent="0.25">
      <c r="A31" s="96" t="str">
        <f>'🎯 RISK ASSESSMENT &amp; SCORING'!A62</f>
        <v>Phase order ramp-up; avoid large upfront commitment</v>
      </c>
      <c r="B31" s="156" t="str">
        <f>'🎯 RISK ASSESSMENT &amp; SCORING'!B62</f>
        <v>Not needed</v>
      </c>
      <c r="C31" s="156"/>
      <c r="D31" s="76"/>
      <c r="E31" s="66"/>
      <c r="F31" s="66"/>
      <c r="G31" s="66"/>
      <c r="H31" s="66"/>
      <c r="I31" s="66"/>
    </row>
    <row r="32" spans="1:9" ht="19.5" customHeight="1" x14ac:dyDescent="0.25">
      <c r="A32" s="96" t="str">
        <f>'🎯 RISK ASSESSMENT &amp; SCORING'!A63</f>
        <v>Qualify a secondary/backup vendor</v>
      </c>
      <c r="B32" s="157" t="str">
        <f>'🎯 RISK ASSESSMENT &amp; SCORING'!B63</f>
        <v>Not needed</v>
      </c>
      <c r="C32" s="157"/>
      <c r="D32" s="76"/>
      <c r="E32" s="66"/>
      <c r="F32" s="66"/>
      <c r="G32" s="66"/>
      <c r="H32" s="66"/>
      <c r="I32" s="66"/>
    </row>
    <row r="33" spans="1:9" ht="19.5" customHeight="1" x14ac:dyDescent="0.25">
      <c r="A33" s="72"/>
      <c r="B33" s="73"/>
      <c r="C33" s="66"/>
      <c r="D33" s="76"/>
      <c r="E33" s="66"/>
      <c r="F33" s="66"/>
      <c r="G33" s="66"/>
      <c r="H33" s="66"/>
      <c r="I33" s="66"/>
    </row>
    <row r="34" spans="1:9" ht="25.5" customHeight="1" x14ac:dyDescent="0.25">
      <c r="A34" s="150" t="s">
        <v>409</v>
      </c>
      <c r="B34" s="150"/>
      <c r="C34" s="150"/>
      <c r="D34" s="150"/>
      <c r="E34" s="150"/>
      <c r="F34" s="150"/>
      <c r="G34" s="150"/>
      <c r="H34" s="150"/>
      <c r="I34" s="150"/>
    </row>
    <row r="35" spans="1:9" ht="19.5" customHeight="1" x14ac:dyDescent="0.25">
      <c r="A35" s="4" t="s">
        <v>168</v>
      </c>
      <c r="B35" s="97" t="s">
        <v>410</v>
      </c>
      <c r="C35" s="66"/>
      <c r="D35" s="66"/>
      <c r="E35" s="66"/>
      <c r="F35" s="66"/>
      <c r="G35" s="66"/>
      <c r="H35" s="66"/>
      <c r="I35" s="66"/>
    </row>
    <row r="36" spans="1:9" ht="15" customHeight="1" x14ac:dyDescent="0.25">
      <c r="A36" s="96" t="s">
        <v>411</v>
      </c>
      <c r="B36" s="98">
        <v>1.7</v>
      </c>
      <c r="C36" s="66"/>
      <c r="D36" s="66"/>
      <c r="E36" s="66"/>
      <c r="F36" s="66"/>
      <c r="G36" s="66"/>
      <c r="H36" s="66"/>
      <c r="I36" s="66"/>
    </row>
    <row r="37" spans="1:9" ht="19.5" customHeight="1" x14ac:dyDescent="0.25">
      <c r="A37" s="96" t="s">
        <v>412</v>
      </c>
      <c r="B37" s="98">
        <v>0.7</v>
      </c>
      <c r="C37" s="66"/>
      <c r="D37" s="66"/>
      <c r="E37" s="66"/>
      <c r="F37" s="66"/>
      <c r="G37" s="66"/>
      <c r="H37" s="66"/>
      <c r="I37" s="66"/>
    </row>
    <row r="38" spans="1:9" ht="15" customHeight="1" x14ac:dyDescent="0.25">
      <c r="A38" s="96" t="s">
        <v>413</v>
      </c>
      <c r="B38" s="98">
        <v>0.6</v>
      </c>
      <c r="C38" s="66"/>
      <c r="D38" s="66"/>
      <c r="E38" s="66"/>
      <c r="F38" s="66"/>
      <c r="G38" s="66"/>
      <c r="H38" s="66"/>
      <c r="I38" s="66"/>
    </row>
    <row r="39" spans="1:9" ht="15" customHeight="1" x14ac:dyDescent="0.25">
      <c r="A39" s="96" t="s">
        <v>414</v>
      </c>
      <c r="B39" s="99">
        <f>'🎯 RISK ASSESSMENT &amp; SCORING'!$E$38</f>
        <v>3</v>
      </c>
      <c r="C39" s="66"/>
      <c r="D39" s="66"/>
      <c r="E39" s="66"/>
      <c r="F39" s="66"/>
      <c r="G39" s="66"/>
      <c r="H39" s="66"/>
      <c r="I39" s="66"/>
    </row>
    <row r="40" spans="1:9" ht="21.75" customHeight="1" x14ac:dyDescent="0.25">
      <c r="A40" s="72"/>
      <c r="B40" s="66"/>
      <c r="C40" s="66"/>
      <c r="D40" s="66"/>
      <c r="E40" s="66"/>
      <c r="F40" s="66"/>
      <c r="G40" s="66"/>
      <c r="H40" s="66"/>
      <c r="I40" s="66"/>
    </row>
    <row r="41" spans="1:9" ht="25.5" customHeight="1" x14ac:dyDescent="0.25">
      <c r="A41" s="151" t="s">
        <v>415</v>
      </c>
      <c r="B41" s="151"/>
      <c r="C41" s="151"/>
      <c r="D41" s="151"/>
      <c r="E41" s="151"/>
      <c r="F41" s="151"/>
      <c r="G41" s="151"/>
      <c r="H41" s="151"/>
      <c r="I41" s="151"/>
    </row>
    <row r="42" spans="1:9" ht="15" customHeight="1" x14ac:dyDescent="0.25">
      <c r="A42" s="4" t="s">
        <v>416</v>
      </c>
      <c r="B42" s="100" t="s">
        <v>417</v>
      </c>
      <c r="C42" s="100" t="s">
        <v>418</v>
      </c>
      <c r="D42" s="66"/>
      <c r="E42" s="66"/>
      <c r="F42" s="66"/>
      <c r="G42" s="66"/>
      <c r="H42" s="66"/>
      <c r="I42" s="66"/>
    </row>
    <row r="43" spans="1:9" ht="15" customHeight="1" x14ac:dyDescent="0.25">
      <c r="A43" s="101" t="s">
        <v>251</v>
      </c>
      <c r="B43" s="102">
        <f>'📈 P&amp;L'!B4</f>
        <v>14200000</v>
      </c>
      <c r="C43" s="102">
        <f>'📈 P&amp;L'!B16</f>
        <v>722000</v>
      </c>
      <c r="D43" s="66"/>
      <c r="E43" s="66"/>
      <c r="F43" s="66"/>
      <c r="G43" s="66"/>
      <c r="H43" s="66"/>
      <c r="I43" s="66"/>
    </row>
    <row r="44" spans="1:9" ht="15" customHeight="1" x14ac:dyDescent="0.25">
      <c r="A44" s="101" t="s">
        <v>250</v>
      </c>
      <c r="B44" s="102">
        <f>'📈 P&amp;L'!C4</f>
        <v>15650000</v>
      </c>
      <c r="C44" s="102">
        <f>'📈 P&amp;L'!C16</f>
        <v>793000</v>
      </c>
      <c r="D44" s="66"/>
      <c r="E44" s="66"/>
      <c r="F44" s="66"/>
      <c r="G44" s="66"/>
      <c r="H44" s="66"/>
      <c r="I44" s="66"/>
    </row>
    <row r="45" spans="1:9" ht="15" customHeight="1" x14ac:dyDescent="0.25">
      <c r="A45" s="101" t="s">
        <v>252</v>
      </c>
      <c r="B45" s="102">
        <f>'📈 P&amp;L'!D4</f>
        <v>17480000</v>
      </c>
      <c r="C45" s="102">
        <f>'📈 P&amp;L'!D16</f>
        <v>991000</v>
      </c>
      <c r="D45" s="66"/>
      <c r="E45" s="66"/>
      <c r="F45" s="66"/>
      <c r="G45" s="66"/>
      <c r="H45" s="66"/>
      <c r="I45" s="66"/>
    </row>
    <row r="46" spans="1:9" ht="21.75" customHeight="1" x14ac:dyDescent="0.25">
      <c r="A46" s="72"/>
      <c r="B46" s="66"/>
      <c r="C46" s="66"/>
      <c r="D46" s="66"/>
      <c r="E46" s="66"/>
      <c r="F46" s="66"/>
      <c r="G46" s="66"/>
      <c r="H46" s="66"/>
      <c r="I46" s="66"/>
    </row>
    <row r="47" spans="1:9" ht="25.5" customHeight="1" x14ac:dyDescent="0.25">
      <c r="A47" s="152" t="s">
        <v>419</v>
      </c>
      <c r="B47" s="152"/>
      <c r="C47" s="152"/>
      <c r="D47" s="152"/>
      <c r="E47" s="152"/>
      <c r="F47" s="152"/>
      <c r="G47" s="152"/>
      <c r="H47" s="152"/>
      <c r="I47" s="152"/>
    </row>
    <row r="48" spans="1:9" ht="15" customHeight="1" x14ac:dyDescent="0.25">
      <c r="A48" s="4" t="s">
        <v>416</v>
      </c>
      <c r="B48" s="103" t="s">
        <v>140</v>
      </c>
      <c r="C48" s="103" t="s">
        <v>420</v>
      </c>
      <c r="D48" s="103" t="s">
        <v>421</v>
      </c>
      <c r="E48" s="66"/>
      <c r="F48" s="66"/>
      <c r="G48" s="66"/>
      <c r="H48" s="66"/>
      <c r="I48" s="66"/>
    </row>
    <row r="49" spans="1:9" ht="15" customHeight="1" x14ac:dyDescent="0.25">
      <c r="A49" s="101" t="s">
        <v>251</v>
      </c>
      <c r="B49" s="98">
        <f>'📊 FINANCIAL RATIOS'!D5</f>
        <v>2.5490196078431371</v>
      </c>
      <c r="C49" s="98">
        <f>'🎯 RISK ASSESSMENT &amp; SCORING'!B20</f>
        <v>5.8061630148992114</v>
      </c>
      <c r="D49" s="98">
        <f>'📊 FINANCIAL RATIOS'!D7</f>
        <v>0.45673076923076922</v>
      </c>
      <c r="E49" s="66"/>
      <c r="F49" s="66"/>
      <c r="G49" s="66"/>
      <c r="H49" s="66"/>
      <c r="I49" s="66"/>
    </row>
    <row r="50" spans="1:9" ht="15" customHeight="1" x14ac:dyDescent="0.25">
      <c r="A50" s="101" t="s">
        <v>250</v>
      </c>
      <c r="B50" s="98">
        <f>'📊 FINANCIAL RATIOS'!E5</f>
        <v>2.6798780487804876</v>
      </c>
      <c r="C50" s="98">
        <f>'🎯 RISK ASSESSMENT &amp; SCORING'!C20</f>
        <v>6.3592360455223602</v>
      </c>
      <c r="D50" s="98">
        <f>'📊 FINANCIAL RATIOS'!E7</f>
        <v>0.34921939194741169</v>
      </c>
      <c r="E50" s="66"/>
      <c r="F50" s="66"/>
      <c r="G50" s="66"/>
      <c r="H50" s="66"/>
      <c r="I50" s="66"/>
    </row>
    <row r="51" spans="1:9" ht="15" customHeight="1" x14ac:dyDescent="0.25">
      <c r="A51" s="101" t="s">
        <v>252</v>
      </c>
      <c r="B51" s="98">
        <f>'📊 FINANCIAL RATIOS'!F5</f>
        <v>2.8221722003376479</v>
      </c>
      <c r="C51" s="98">
        <f>'🎯 RISK ASSESSMENT &amp; SCORING'!D20</f>
        <v>7.046365590063763</v>
      </c>
      <c r="D51" s="98">
        <f>'📊 FINANCIAL RATIOS'!F7</f>
        <v>0.25919439579684761</v>
      </c>
      <c r="E51" s="66"/>
      <c r="F51" s="66"/>
      <c r="G51" s="66"/>
      <c r="H51" s="66"/>
      <c r="I51" s="66"/>
    </row>
    <row r="52" spans="1:9" ht="15" customHeight="1" x14ac:dyDescent="0.25">
      <c r="A52" s="66"/>
      <c r="B52" s="66"/>
      <c r="C52" s="66"/>
      <c r="D52" s="66"/>
      <c r="E52" s="66"/>
      <c r="F52" s="66"/>
      <c r="G52" s="66"/>
      <c r="H52" s="66"/>
      <c r="I52" s="66"/>
    </row>
    <row r="53" spans="1:9" ht="15" customHeight="1" x14ac:dyDescent="0.25">
      <c r="A53" s="66"/>
      <c r="B53" s="66"/>
      <c r="C53" s="66"/>
      <c r="D53" s="66"/>
      <c r="E53" s="66"/>
      <c r="F53" s="66"/>
      <c r="G53" s="66"/>
      <c r="H53" s="66"/>
      <c r="I53" s="66"/>
    </row>
    <row r="54" spans="1:9" ht="15" customHeight="1" x14ac:dyDescent="0.25">
      <c r="A54" s="66"/>
      <c r="B54" s="66"/>
      <c r="C54" s="66"/>
      <c r="D54" s="66"/>
      <c r="E54" s="66"/>
      <c r="F54" s="66"/>
      <c r="G54" s="66"/>
      <c r="H54" s="66"/>
      <c r="I54" s="66"/>
    </row>
    <row r="55" spans="1:9" ht="15" customHeight="1" x14ac:dyDescent="0.25">
      <c r="A55" s="66"/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>
      <c r="A56" s="66"/>
      <c r="B56" s="66"/>
      <c r="C56" s="66"/>
      <c r="D56" s="66"/>
      <c r="E56" s="66"/>
      <c r="F56" s="66"/>
      <c r="G56" s="66"/>
      <c r="H56" s="66"/>
      <c r="I56" s="66"/>
    </row>
    <row r="57" spans="1:9" ht="15" customHeight="1" x14ac:dyDescent="0.25">
      <c r="A57" s="66"/>
      <c r="B57" s="66"/>
      <c r="C57" s="66"/>
      <c r="D57" s="66"/>
      <c r="E57" s="66"/>
      <c r="F57" s="66"/>
      <c r="G57" s="66"/>
      <c r="H57" s="66"/>
      <c r="I57" s="66"/>
    </row>
    <row r="58" spans="1:9" ht="15" customHeight="1" x14ac:dyDescent="0.25">
      <c r="A58" s="66"/>
      <c r="B58" s="66"/>
      <c r="C58" s="66"/>
      <c r="D58" s="66"/>
      <c r="E58" s="66"/>
      <c r="F58" s="66"/>
      <c r="G58" s="66"/>
      <c r="H58" s="66"/>
      <c r="I58" s="66"/>
    </row>
    <row r="59" spans="1:9" ht="15" customHeight="1" x14ac:dyDescent="0.25">
      <c r="A59" s="66"/>
      <c r="B59" s="66"/>
      <c r="C59" s="66"/>
      <c r="D59" s="66"/>
      <c r="E59" s="66"/>
      <c r="F59" s="66"/>
      <c r="G59" s="66"/>
      <c r="H59" s="66"/>
      <c r="I59" s="66"/>
    </row>
    <row r="60" spans="1:9" ht="15" customHeight="1" x14ac:dyDescent="0.25">
      <c r="A60" s="66"/>
      <c r="B60" s="66"/>
      <c r="C60" s="66"/>
      <c r="D60" s="66"/>
      <c r="E60" s="66"/>
      <c r="F60" s="66"/>
      <c r="G60" s="66"/>
      <c r="H60" s="66"/>
      <c r="I60" s="66"/>
    </row>
    <row r="61" spans="1:9" ht="15" customHeight="1" x14ac:dyDescent="0.25">
      <c r="A61" s="66"/>
      <c r="B61" s="66"/>
      <c r="C61" s="66"/>
      <c r="D61" s="66"/>
      <c r="E61" s="66"/>
      <c r="F61" s="66"/>
      <c r="G61" s="66"/>
      <c r="H61" s="66"/>
      <c r="I61" s="66"/>
    </row>
    <row r="62" spans="1:9" ht="15" customHeight="1" x14ac:dyDescent="0.25">
      <c r="A62" s="66"/>
      <c r="B62" s="66"/>
      <c r="C62" s="66"/>
      <c r="D62" s="66"/>
      <c r="E62" s="66"/>
      <c r="F62" s="66"/>
      <c r="G62" s="66"/>
      <c r="H62" s="66"/>
      <c r="I62" s="66"/>
    </row>
    <row r="63" spans="1:9" ht="15" customHeight="1" x14ac:dyDescent="0.25">
      <c r="A63" s="66"/>
      <c r="B63" s="66"/>
      <c r="C63" s="66"/>
      <c r="D63" s="66"/>
      <c r="E63" s="66"/>
      <c r="F63" s="66"/>
      <c r="G63" s="66"/>
      <c r="H63" s="66"/>
      <c r="I63" s="66"/>
    </row>
    <row r="64" spans="1:9" ht="15" customHeight="1" x14ac:dyDescent="0.25">
      <c r="A64" s="66"/>
      <c r="B64" s="66"/>
      <c r="C64" s="66"/>
      <c r="D64" s="66"/>
      <c r="E64" s="66"/>
      <c r="F64" s="66"/>
      <c r="G64" s="66"/>
      <c r="H64" s="66"/>
      <c r="I64" s="66"/>
    </row>
    <row r="65" spans="1:9" ht="15" customHeight="1" x14ac:dyDescent="0.25">
      <c r="A65" s="66"/>
      <c r="B65" s="66"/>
      <c r="C65" s="66"/>
      <c r="D65" s="66"/>
      <c r="E65" s="66"/>
      <c r="F65" s="66"/>
      <c r="G65" s="66"/>
      <c r="H65" s="66"/>
      <c r="I65" s="66"/>
    </row>
    <row r="66" spans="1:9" ht="15" customHeight="1" x14ac:dyDescent="0.25">
      <c r="A66" s="66"/>
      <c r="B66" s="66"/>
      <c r="C66" s="66"/>
      <c r="D66" s="66"/>
      <c r="E66" s="66"/>
      <c r="F66" s="66"/>
      <c r="G66" s="66"/>
      <c r="H66" s="66"/>
      <c r="I66" s="66"/>
    </row>
    <row r="67" spans="1:9" ht="1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</row>
    <row r="68" spans="1:9" ht="15" customHeight="1" x14ac:dyDescent="0.25">
      <c r="A68" s="66"/>
      <c r="B68" s="66"/>
      <c r="C68" s="66"/>
      <c r="D68" s="66"/>
      <c r="E68" s="66"/>
      <c r="F68" s="66"/>
      <c r="G68" s="66"/>
      <c r="H68" s="66"/>
      <c r="I68" s="66"/>
    </row>
    <row r="69" spans="1:9" ht="15" customHeight="1" x14ac:dyDescent="0.25">
      <c r="A69" s="66"/>
      <c r="B69" s="66"/>
      <c r="C69" s="66"/>
      <c r="D69" s="66"/>
      <c r="E69" s="66"/>
      <c r="F69" s="66"/>
      <c r="G69" s="66"/>
      <c r="H69" s="66"/>
      <c r="I69" s="66"/>
    </row>
  </sheetData>
  <sheetProtection algorithmName="SHA-512" hashValue="Oxlo7s/BifmqYHj4VLmZQwJO63SjqbPlxw9nAIplGWHX1TnQSPmiMCSyg2FbVCtFdZ9+8AudDkPs57ty5fsJTQ==" saltValue="JH9QSnasJxs5EY326CjLsA==" spinCount="100000" sheet="1" objects="1" scenarios="1"/>
  <mergeCells count="30">
    <mergeCell ref="A4:I4"/>
    <mergeCell ref="A5:D5"/>
    <mergeCell ref="E5:I5"/>
    <mergeCell ref="A6:D7"/>
    <mergeCell ref="E6:I7"/>
    <mergeCell ref="B19:C19"/>
    <mergeCell ref="B20:C20"/>
    <mergeCell ref="B21:C21"/>
    <mergeCell ref="A9:I9"/>
    <mergeCell ref="A10:I12"/>
    <mergeCell ref="A14:I14"/>
    <mergeCell ref="B15:C15"/>
    <mergeCell ref="E15:F15"/>
    <mergeCell ref="H15:I15"/>
    <mergeCell ref="A34:I34"/>
    <mergeCell ref="A41:I41"/>
    <mergeCell ref="A47:I47"/>
    <mergeCell ref="A1:I1"/>
    <mergeCell ref="B28:C28"/>
    <mergeCell ref="B29:C29"/>
    <mergeCell ref="B30:C30"/>
    <mergeCell ref="B31:C31"/>
    <mergeCell ref="B32:C32"/>
    <mergeCell ref="B22:C22"/>
    <mergeCell ref="B23:C23"/>
    <mergeCell ref="B24:C24"/>
    <mergeCell ref="A26:I26"/>
    <mergeCell ref="B27:C27"/>
    <mergeCell ref="A17:I17"/>
    <mergeCell ref="B18:C18"/>
  </mergeCells>
  <conditionalFormatting sqref="A10:I12">
    <cfRule type="expression" dxfId="7" priority="6">
      <formula>ISNUMBER(SEARCH("APPROVE —",$A$10))</formula>
    </cfRule>
    <cfRule type="expression" dxfId="6" priority="7">
      <formula>ISNUMBER(SEARCH("CONDITIONS",$A$10))</formula>
    </cfRule>
    <cfRule type="expression" dxfId="5" priority="8">
      <formula>ISNUMBER(SEARCH("REJECT",$A$10))</formula>
    </cfRule>
    <cfRule type="expression" dxfId="4" priority="9">
      <formula>ISNUMBER(SEARCH("INSUFFICIENT",$A$10))</formula>
    </cfRule>
  </conditionalFormatting>
  <conditionalFormatting sqref="E6:I7">
    <cfRule type="expression" dxfId="3" priority="2">
      <formula>$E$6="🟢 LOW RISK"</formula>
    </cfRule>
    <cfRule type="expression" dxfId="2" priority="3">
      <formula>$E$6="🟡 MODERATE RISK"</formula>
    </cfRule>
    <cfRule type="expression" dxfId="1" priority="4">
      <formula>$E$6="🔴 HIGH RISK"</formula>
    </cfRule>
    <cfRule type="expression" dxfId="0" priority="5">
      <formula>$E$6="⚪ DATA INSUFFICIENT"</formula>
    </cfRule>
  </conditionalFormatting>
  <pageMargins left="0.75" right="0.75" top="1" bottom="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🏠 COVER</vt:lpstr>
      <vt:lpstr>📖 HOW TO USE</vt:lpstr>
      <vt:lpstr>🏢 VENDOR PROFILE</vt:lpstr>
      <vt:lpstr>📈 P&amp;L</vt:lpstr>
      <vt:lpstr>🏛 BALANCE SHEET</vt:lpstr>
      <vt:lpstr>💵 CASH FLOW</vt:lpstr>
      <vt:lpstr>📊 FINANCIAL RATIOS</vt:lpstr>
      <vt:lpstr>🎯 RISK ASSESSMENT &amp; SCORING</vt:lpstr>
      <vt:lpstr>📈 VENDOR DD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madhu roy</cp:lastModifiedBy>
  <cp:revision>24</cp:revision>
  <dcterms:created xsi:type="dcterms:W3CDTF">2026-08-29T12:30:22Z</dcterms:created>
  <dcterms:modified xsi:type="dcterms:W3CDTF">2026-08-30T06:00:32Z</dcterms:modified>
  <dc:language>en-US</dc:language>
</cp:coreProperties>
</file>