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CAMSROY website\Excel Template\Financial staement analysis excel template\"/>
    </mc:Choice>
  </mc:AlternateContent>
  <xr:revisionPtr revIDLastSave="0" documentId="13_ncr:1_{5F6B991A-B448-4BC5-8E8F-F16E62D1DAB4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🏠 COVER" sheetId="1" r:id="rId1"/>
    <sheet name="⚙ SETUP" sheetId="2" r:id="rId2"/>
    <sheet name="📈 P&amp;L" sheetId="3" r:id="rId3"/>
    <sheet name="🏛 BALANCE SHEET" sheetId="4" r:id="rId4"/>
    <sheet name="💵 CASH FLOW" sheetId="5" r:id="rId5"/>
    <sheet name="📊 RATIO ANALYSIS" sheetId="6" r:id="rId6"/>
    <sheet name="📈 DASHBOARD" sheetId="7" r:id="rId7"/>
    <sheet name="📖 HOW TO USE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5" l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F19" i="5"/>
  <c r="F20" i="5" s="1"/>
  <c r="E19" i="5"/>
  <c r="E20" i="5" s="1"/>
  <c r="D19" i="5"/>
  <c r="D20" i="5" s="1"/>
  <c r="C19" i="5"/>
  <c r="C20" i="5" s="1"/>
  <c r="B19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N15" i="5"/>
  <c r="M32" i="4"/>
  <c r="L32" i="4"/>
  <c r="L26" i="4" s="1"/>
  <c r="L27" i="4" s="1"/>
  <c r="K32" i="4"/>
  <c r="K26" i="4" s="1"/>
  <c r="K27" i="4" s="1"/>
  <c r="J32" i="4"/>
  <c r="J26" i="4" s="1"/>
  <c r="J27" i="4" s="1"/>
  <c r="I32" i="4"/>
  <c r="I26" i="4" s="1"/>
  <c r="I27" i="4" s="1"/>
  <c r="H32" i="4"/>
  <c r="H26" i="4" s="1"/>
  <c r="H27" i="4" s="1"/>
  <c r="G32" i="4"/>
  <c r="G26" i="4" s="1"/>
  <c r="G27" i="4" s="1"/>
  <c r="F32" i="4"/>
  <c r="F26" i="4" s="1"/>
  <c r="F27" i="4" s="1"/>
  <c r="E32" i="4"/>
  <c r="E26" i="4" s="1"/>
  <c r="E27" i="4" s="1"/>
  <c r="D32" i="4"/>
  <c r="D26" i="4" s="1"/>
  <c r="D27" i="4" s="1"/>
  <c r="C32" i="4"/>
  <c r="C26" i="4" s="1"/>
  <c r="C27" i="4" s="1"/>
  <c r="B32" i="4"/>
  <c r="B26" i="4" s="1"/>
  <c r="B27" i="4" s="1"/>
  <c r="M21" i="4"/>
  <c r="L21" i="4"/>
  <c r="K21" i="4"/>
  <c r="J21" i="4"/>
  <c r="I21" i="4"/>
  <c r="H21" i="4"/>
  <c r="G21" i="4"/>
  <c r="F21" i="4"/>
  <c r="E21" i="4"/>
  <c r="D21" i="4"/>
  <c r="C21" i="4"/>
  <c r="B21" i="4"/>
  <c r="M6" i="4"/>
  <c r="L6" i="4"/>
  <c r="K6" i="4"/>
  <c r="J6" i="4"/>
  <c r="I6" i="4"/>
  <c r="H6" i="4"/>
  <c r="G6" i="4"/>
  <c r="F6" i="4"/>
  <c r="E6" i="4"/>
  <c r="D6" i="4"/>
  <c r="C6" i="4"/>
  <c r="B6" i="4"/>
  <c r="M24" i="3"/>
  <c r="L24" i="3"/>
  <c r="K24" i="3"/>
  <c r="J24" i="3"/>
  <c r="I24" i="3"/>
  <c r="H24" i="3"/>
  <c r="G24" i="3"/>
  <c r="F24" i="3"/>
  <c r="E24" i="3"/>
  <c r="D24" i="3"/>
  <c r="C24" i="3"/>
  <c r="B24" i="3"/>
  <c r="N24" i="3" s="1"/>
  <c r="M22" i="3"/>
  <c r="M6" i="5" s="1"/>
  <c r="L22" i="3"/>
  <c r="L6" i="5" s="1"/>
  <c r="K22" i="3"/>
  <c r="K6" i="5" s="1"/>
  <c r="J22" i="3"/>
  <c r="J6" i="5" s="1"/>
  <c r="I22" i="3"/>
  <c r="I6" i="5" s="1"/>
  <c r="H22" i="3"/>
  <c r="H6" i="5" s="1"/>
  <c r="G22" i="3"/>
  <c r="G6" i="5" s="1"/>
  <c r="F22" i="3"/>
  <c r="F6" i="5" s="1"/>
  <c r="E22" i="3"/>
  <c r="E6" i="5" s="1"/>
  <c r="D22" i="3"/>
  <c r="D6" i="5" s="1"/>
  <c r="C22" i="3"/>
  <c r="C6" i="5" s="1"/>
  <c r="B22" i="3"/>
  <c r="M16" i="3"/>
  <c r="L16" i="3"/>
  <c r="K16" i="3"/>
  <c r="J16" i="3"/>
  <c r="I16" i="3"/>
  <c r="H16" i="3"/>
  <c r="G16" i="3"/>
  <c r="F16" i="3"/>
  <c r="E16" i="3"/>
  <c r="D16" i="3"/>
  <c r="C16" i="3"/>
  <c r="B16" i="3"/>
  <c r="N16" i="3" s="1"/>
  <c r="M15" i="3"/>
  <c r="L15" i="3"/>
  <c r="K15" i="3"/>
  <c r="J15" i="3"/>
  <c r="I15" i="3"/>
  <c r="H15" i="3"/>
  <c r="G15" i="3"/>
  <c r="F15" i="3"/>
  <c r="E15" i="3"/>
  <c r="D15" i="3"/>
  <c r="C15" i="3"/>
  <c r="B15" i="3"/>
  <c r="N15" i="3" s="1"/>
  <c r="M14" i="3"/>
  <c r="L14" i="3"/>
  <c r="K14" i="3"/>
  <c r="J14" i="3"/>
  <c r="I14" i="3"/>
  <c r="H14" i="3"/>
  <c r="G14" i="3"/>
  <c r="F14" i="3"/>
  <c r="N14" i="3" s="1"/>
  <c r="E14" i="3"/>
  <c r="D14" i="3"/>
  <c r="C14" i="3"/>
  <c r="B14" i="3"/>
  <c r="M13" i="3"/>
  <c r="L13" i="3"/>
  <c r="K13" i="3"/>
  <c r="J13" i="3"/>
  <c r="I13" i="3"/>
  <c r="H13" i="3"/>
  <c r="G13" i="3"/>
  <c r="F13" i="3"/>
  <c r="E13" i="3"/>
  <c r="D13" i="3"/>
  <c r="C13" i="3"/>
  <c r="B13" i="3"/>
  <c r="N13" i="3" s="1"/>
  <c r="M12" i="3"/>
  <c r="M17" i="3" s="1"/>
  <c r="L12" i="3"/>
  <c r="L17" i="3" s="1"/>
  <c r="K12" i="3"/>
  <c r="K17" i="3" s="1"/>
  <c r="J12" i="3"/>
  <c r="J17" i="3" s="1"/>
  <c r="I12" i="3"/>
  <c r="I17" i="3" s="1"/>
  <c r="H12" i="3"/>
  <c r="H17" i="3" s="1"/>
  <c r="G12" i="3"/>
  <c r="G17" i="3" s="1"/>
  <c r="F12" i="3"/>
  <c r="F17" i="3" s="1"/>
  <c r="E12" i="3"/>
  <c r="E17" i="3" s="1"/>
  <c r="D12" i="3"/>
  <c r="D17" i="3" s="1"/>
  <c r="C12" i="3"/>
  <c r="C17" i="3" s="1"/>
  <c r="B12" i="3"/>
  <c r="B6" i="3"/>
  <c r="B20" i="5" l="1"/>
  <c r="N19" i="5"/>
  <c r="N20" i="5" s="1"/>
  <c r="N32" i="4"/>
  <c r="M26" i="4"/>
  <c r="N21" i="4"/>
  <c r="N6" i="4"/>
  <c r="B6" i="5"/>
  <c r="N6" i="5" s="1"/>
  <c r="B7" i="4"/>
  <c r="N22" i="3"/>
  <c r="B17" i="3"/>
  <c r="N12" i="3"/>
  <c r="N17" i="3" s="1"/>
  <c r="B21" i="7"/>
  <c r="B13" i="4"/>
  <c r="B7" i="5" s="1"/>
  <c r="C6" i="3"/>
  <c r="B8" i="3"/>
  <c r="B9" i="3" s="1"/>
  <c r="N26" i="4" l="1"/>
  <c r="M27" i="4"/>
  <c r="B8" i="4"/>
  <c r="B9" i="4" s="1"/>
  <c r="C7" i="4"/>
  <c r="B19" i="3"/>
  <c r="B13" i="6"/>
  <c r="C8" i="3"/>
  <c r="C13" i="4"/>
  <c r="C7" i="5" s="1"/>
  <c r="B22" i="7"/>
  <c r="D6" i="3"/>
  <c r="B31" i="4"/>
  <c r="B14" i="4"/>
  <c r="B8" i="5" s="1"/>
  <c r="B15" i="4"/>
  <c r="B30" i="4"/>
  <c r="N27" i="4" l="1"/>
  <c r="C8" i="4"/>
  <c r="C9" i="4" s="1"/>
  <c r="D7" i="4"/>
  <c r="B20" i="3"/>
  <c r="B23" i="3"/>
  <c r="C14" i="4"/>
  <c r="C8" i="5" s="1"/>
  <c r="C30" i="4"/>
  <c r="D8" i="3"/>
  <c r="D9" i="3" s="1"/>
  <c r="E6" i="3"/>
  <c r="D13" i="4"/>
  <c r="D7" i="5" s="1"/>
  <c r="B23" i="7"/>
  <c r="C31" i="4"/>
  <c r="B11" i="5"/>
  <c r="C15" i="4"/>
  <c r="B9" i="5"/>
  <c r="B10" i="5"/>
  <c r="B33" i="4"/>
  <c r="C9" i="3"/>
  <c r="D8" i="4" l="1"/>
  <c r="D9" i="4" s="1"/>
  <c r="E7" i="4"/>
  <c r="B25" i="3"/>
  <c r="B10" i="6"/>
  <c r="C33" i="4"/>
  <c r="C10" i="5"/>
  <c r="D14" i="4"/>
  <c r="D8" i="5" s="1"/>
  <c r="D30" i="4"/>
  <c r="D19" i="3"/>
  <c r="D13" i="6"/>
  <c r="E8" i="3"/>
  <c r="E13" i="4"/>
  <c r="E7" i="5" s="1"/>
  <c r="B24" i="7"/>
  <c r="F6" i="3"/>
  <c r="E9" i="3"/>
  <c r="C11" i="5"/>
  <c r="D31" i="4"/>
  <c r="D15" i="4"/>
  <c r="C9" i="5"/>
  <c r="C13" i="6"/>
  <c r="C19" i="3"/>
  <c r="E8" i="4" l="1"/>
  <c r="E9" i="4" s="1"/>
  <c r="F7" i="4"/>
  <c r="B26" i="3"/>
  <c r="B27" i="3" s="1"/>
  <c r="D33" i="4"/>
  <c r="D10" i="5"/>
  <c r="D20" i="3"/>
  <c r="D23" i="3"/>
  <c r="E30" i="4"/>
  <c r="E14" i="4"/>
  <c r="E8" i="5" s="1"/>
  <c r="G6" i="3"/>
  <c r="F8" i="3"/>
  <c r="F9" i="3"/>
  <c r="F13" i="4"/>
  <c r="F7" i="5" s="1"/>
  <c r="B25" i="7"/>
  <c r="E19" i="3"/>
  <c r="E13" i="6"/>
  <c r="E31" i="4"/>
  <c r="D11" i="5"/>
  <c r="E15" i="4"/>
  <c r="D9" i="5"/>
  <c r="C20" i="3"/>
  <c r="C23" i="3"/>
  <c r="F8" i="4" l="1"/>
  <c r="F9" i="4" s="1"/>
  <c r="G7" i="4"/>
  <c r="B28" i="3"/>
  <c r="B22" i="4"/>
  <c r="B5" i="5"/>
  <c r="B14" i="6"/>
  <c r="C21" i="7"/>
  <c r="D25" i="3"/>
  <c r="D10" i="6"/>
  <c r="E33" i="4"/>
  <c r="E10" i="5"/>
  <c r="H6" i="3"/>
  <c r="G8" i="3"/>
  <c r="G9" i="3" s="1"/>
  <c r="G13" i="4"/>
  <c r="G7" i="5" s="1"/>
  <c r="B26" i="7"/>
  <c r="F14" i="4"/>
  <c r="F8" i="5" s="1"/>
  <c r="F30" i="4"/>
  <c r="F19" i="3"/>
  <c r="F13" i="6"/>
  <c r="E20" i="3"/>
  <c r="E23" i="3"/>
  <c r="F31" i="4"/>
  <c r="E11" i="5"/>
  <c r="F15" i="4"/>
  <c r="E9" i="5"/>
  <c r="C25" i="3"/>
  <c r="C10" i="6"/>
  <c r="G8" i="4" l="1"/>
  <c r="G9" i="4" s="1"/>
  <c r="H7" i="4"/>
  <c r="B23" i="4"/>
  <c r="C22" i="4"/>
  <c r="B12" i="5"/>
  <c r="B22" i="5" s="1"/>
  <c r="D26" i="3"/>
  <c r="D27" i="3"/>
  <c r="G19" i="3"/>
  <c r="G13" i="6"/>
  <c r="H13" i="4"/>
  <c r="H7" i="5" s="1"/>
  <c r="B27" i="7"/>
  <c r="I6" i="3"/>
  <c r="H8" i="3"/>
  <c r="H9" i="3"/>
  <c r="G14" i="4"/>
  <c r="G8" i="5" s="1"/>
  <c r="G30" i="4"/>
  <c r="F10" i="5"/>
  <c r="F33" i="4"/>
  <c r="F20" i="3"/>
  <c r="F23" i="3"/>
  <c r="E25" i="3"/>
  <c r="E10" i="6"/>
  <c r="F11" i="5"/>
  <c r="G31" i="4"/>
  <c r="G15" i="4"/>
  <c r="F9" i="5"/>
  <c r="C26" i="3"/>
  <c r="C27" i="3"/>
  <c r="H8" i="4" l="1"/>
  <c r="H9" i="4" s="1"/>
  <c r="I7" i="4"/>
  <c r="B15" i="6"/>
  <c r="B16" i="6"/>
  <c r="B9" i="6"/>
  <c r="B34" i="4"/>
  <c r="C23" i="4"/>
  <c r="C15" i="6" s="1"/>
  <c r="D22" i="4"/>
  <c r="B24" i="5"/>
  <c r="D28" i="3"/>
  <c r="D5" i="5"/>
  <c r="D12" i="5" s="1"/>
  <c r="D22" i="5" s="1"/>
  <c r="D14" i="6"/>
  <c r="C23" i="7"/>
  <c r="G20" i="3"/>
  <c r="G23" i="3"/>
  <c r="J6" i="3"/>
  <c r="I8" i="3"/>
  <c r="I9" i="3" s="1"/>
  <c r="I13" i="4"/>
  <c r="I7" i="5" s="1"/>
  <c r="B28" i="7"/>
  <c r="H14" i="4"/>
  <c r="H8" i="5" s="1"/>
  <c r="H30" i="4"/>
  <c r="H19" i="3"/>
  <c r="H13" i="6"/>
  <c r="G33" i="4"/>
  <c r="G10" i="5"/>
  <c r="F25" i="3"/>
  <c r="F10" i="6"/>
  <c r="E26" i="3"/>
  <c r="E27" i="3"/>
  <c r="H31" i="4"/>
  <c r="G11" i="5"/>
  <c r="H15" i="4"/>
  <c r="G9" i="5"/>
  <c r="C28" i="3"/>
  <c r="C5" i="5"/>
  <c r="C14" i="6"/>
  <c r="C22" i="7"/>
  <c r="I8" i="4" l="1"/>
  <c r="I9" i="4" s="1"/>
  <c r="J7" i="4"/>
  <c r="C16" i="6"/>
  <c r="C9" i="6"/>
  <c r="C34" i="4"/>
  <c r="D23" i="4"/>
  <c r="E22" i="4"/>
  <c r="C23" i="5"/>
  <c r="C24" i="5" s="1"/>
  <c r="B12" i="4"/>
  <c r="B16" i="4" s="1"/>
  <c r="G25" i="3"/>
  <c r="G10" i="6"/>
  <c r="K6" i="3"/>
  <c r="J8" i="3"/>
  <c r="J9" i="3"/>
  <c r="J13" i="4"/>
  <c r="J7" i="5" s="1"/>
  <c r="B29" i="7"/>
  <c r="I19" i="3"/>
  <c r="I13" i="6"/>
  <c r="I30" i="4"/>
  <c r="I14" i="4"/>
  <c r="I8" i="5" s="1"/>
  <c r="H33" i="4"/>
  <c r="H10" i="5"/>
  <c r="H20" i="3"/>
  <c r="H23" i="3"/>
  <c r="F26" i="3"/>
  <c r="F27" i="3" s="1"/>
  <c r="E28" i="3"/>
  <c r="E5" i="5"/>
  <c r="E14" i="6"/>
  <c r="C24" i="7"/>
  <c r="I31" i="4"/>
  <c r="H11" i="5"/>
  <c r="I15" i="4"/>
  <c r="H9" i="5"/>
  <c r="C12" i="5"/>
  <c r="C22" i="5" s="1"/>
  <c r="J8" i="4" l="1"/>
  <c r="J9" i="4" s="1"/>
  <c r="K7" i="4"/>
  <c r="D15" i="6"/>
  <c r="D16" i="6"/>
  <c r="D9" i="6"/>
  <c r="D34" i="4"/>
  <c r="E23" i="4"/>
  <c r="F22" i="4"/>
  <c r="C12" i="4"/>
  <c r="C16" i="4" s="1"/>
  <c r="D23" i="5"/>
  <c r="D24" i="5" s="1"/>
  <c r="B17" i="4"/>
  <c r="B35" i="4" s="1"/>
  <c r="B5" i="6"/>
  <c r="B6" i="6"/>
  <c r="G26" i="3"/>
  <c r="G27" i="3"/>
  <c r="L6" i="3"/>
  <c r="K8" i="3"/>
  <c r="K9" i="3" s="1"/>
  <c r="K13" i="4"/>
  <c r="K7" i="5" s="1"/>
  <c r="B30" i="7"/>
  <c r="J14" i="4"/>
  <c r="J8" i="5" s="1"/>
  <c r="J30" i="4"/>
  <c r="J19" i="3"/>
  <c r="J13" i="6"/>
  <c r="I20" i="3"/>
  <c r="I23" i="3"/>
  <c r="I33" i="4"/>
  <c r="I10" i="5"/>
  <c r="H25" i="3"/>
  <c r="H10" i="6"/>
  <c r="F28" i="3"/>
  <c r="F5" i="5"/>
  <c r="F12" i="5" s="1"/>
  <c r="F22" i="5" s="1"/>
  <c r="F14" i="6"/>
  <c r="C25" i="7"/>
  <c r="J31" i="4"/>
  <c r="I11" i="5"/>
  <c r="J15" i="4"/>
  <c r="I9" i="5"/>
  <c r="E12" i="5"/>
  <c r="E22" i="5" s="1"/>
  <c r="K8" i="4" l="1"/>
  <c r="K9" i="4" s="1"/>
  <c r="L7" i="4"/>
  <c r="E15" i="6"/>
  <c r="E16" i="6"/>
  <c r="E9" i="6"/>
  <c r="E34" i="4"/>
  <c r="F23" i="4"/>
  <c r="G22" i="4"/>
  <c r="C17" i="4"/>
  <c r="C35" i="4" s="1"/>
  <c r="C5" i="6"/>
  <c r="C6" i="6"/>
  <c r="D12" i="4"/>
  <c r="D16" i="4" s="1"/>
  <c r="E23" i="5"/>
  <c r="E24" i="5" s="1"/>
  <c r="G28" i="3"/>
  <c r="G5" i="5"/>
  <c r="G14" i="6"/>
  <c r="C26" i="7"/>
  <c r="M6" i="3"/>
  <c r="N6" i="3" s="1"/>
  <c r="B4" i="7" s="1"/>
  <c r="L8" i="3"/>
  <c r="L9" i="3"/>
  <c r="L13" i="4"/>
  <c r="L7" i="5" s="1"/>
  <c r="B31" i="7"/>
  <c r="K19" i="3"/>
  <c r="K13" i="6"/>
  <c r="K14" i="4"/>
  <c r="K8" i="5" s="1"/>
  <c r="K30" i="4"/>
  <c r="J10" i="5"/>
  <c r="J33" i="4"/>
  <c r="J20" i="3"/>
  <c r="J23" i="3"/>
  <c r="I25" i="3"/>
  <c r="I10" i="6"/>
  <c r="H26" i="3"/>
  <c r="H27" i="3"/>
  <c r="J11" i="5"/>
  <c r="K31" i="4"/>
  <c r="K15" i="4"/>
  <c r="J9" i="5"/>
  <c r="L8" i="4" l="1"/>
  <c r="L9" i="4" s="1"/>
  <c r="M7" i="4"/>
  <c r="F15" i="6"/>
  <c r="F16" i="6"/>
  <c r="F9" i="6"/>
  <c r="F34" i="4"/>
  <c r="G23" i="4"/>
  <c r="H22" i="4"/>
  <c r="D17" i="4"/>
  <c r="D35" i="4" s="1"/>
  <c r="D5" i="6"/>
  <c r="D6" i="6"/>
  <c r="E12" i="4"/>
  <c r="E16" i="4" s="1"/>
  <c r="F23" i="5"/>
  <c r="F24" i="5" s="1"/>
  <c r="G12" i="5"/>
  <c r="G22" i="5" s="1"/>
  <c r="M8" i="3"/>
  <c r="M9" i="3" s="1"/>
  <c r="N9" i="3" s="1"/>
  <c r="M13" i="4"/>
  <c r="B32" i="7"/>
  <c r="L30" i="4"/>
  <c r="L14" i="4"/>
  <c r="L8" i="5" s="1"/>
  <c r="L19" i="3"/>
  <c r="L13" i="6"/>
  <c r="K20" i="3"/>
  <c r="K23" i="3"/>
  <c r="K33" i="4"/>
  <c r="K10" i="5"/>
  <c r="J25" i="3"/>
  <c r="J10" i="6"/>
  <c r="I26" i="3"/>
  <c r="I27" i="3" s="1"/>
  <c r="H28" i="3"/>
  <c r="H5" i="5"/>
  <c r="H14" i="6"/>
  <c r="C27" i="7"/>
  <c r="K11" i="5"/>
  <c r="L31" i="4"/>
  <c r="L15" i="4"/>
  <c r="K9" i="5"/>
  <c r="M8" i="4" l="1"/>
  <c r="N7" i="4"/>
  <c r="G15" i="6"/>
  <c r="G16" i="6"/>
  <c r="G9" i="6"/>
  <c r="G34" i="4"/>
  <c r="H23" i="4"/>
  <c r="I22" i="4"/>
  <c r="E17" i="4"/>
  <c r="E35" i="4" s="1"/>
  <c r="E5" i="6"/>
  <c r="E6" i="6"/>
  <c r="F12" i="4"/>
  <c r="F16" i="4" s="1"/>
  <c r="G23" i="5"/>
  <c r="G24" i="5" s="1"/>
  <c r="M19" i="3"/>
  <c r="M13" i="6"/>
  <c r="N8" i="3"/>
  <c r="M14" i="4"/>
  <c r="M30" i="4"/>
  <c r="N13" i="4"/>
  <c r="B38" i="7" s="1"/>
  <c r="M7" i="5"/>
  <c r="N7" i="5" s="1"/>
  <c r="L33" i="4"/>
  <c r="L10" i="5"/>
  <c r="N13" i="6"/>
  <c r="N19" i="3"/>
  <c r="L20" i="3"/>
  <c r="L23" i="3"/>
  <c r="K25" i="3"/>
  <c r="K10" i="6"/>
  <c r="J26" i="3"/>
  <c r="J27" i="3" s="1"/>
  <c r="I28" i="3"/>
  <c r="I5" i="5"/>
  <c r="I12" i="5" s="1"/>
  <c r="I22" i="5" s="1"/>
  <c r="I14" i="6"/>
  <c r="C28" i="7"/>
  <c r="M31" i="4"/>
  <c r="L11" i="5"/>
  <c r="M15" i="4"/>
  <c r="L9" i="5"/>
  <c r="H12" i="5"/>
  <c r="H22" i="5" s="1"/>
  <c r="M9" i="4" l="1"/>
  <c r="N8" i="4"/>
  <c r="B36" i="7" s="1"/>
  <c r="H15" i="6"/>
  <c r="H16" i="6"/>
  <c r="H9" i="6"/>
  <c r="H34" i="4"/>
  <c r="I23" i="4"/>
  <c r="J22" i="4"/>
  <c r="F17" i="4"/>
  <c r="F35" i="4" s="1"/>
  <c r="F5" i="6"/>
  <c r="F6" i="6"/>
  <c r="G12" i="4"/>
  <c r="G16" i="4" s="1"/>
  <c r="H23" i="5"/>
  <c r="H24" i="5" s="1"/>
  <c r="M20" i="3"/>
  <c r="M23" i="3"/>
  <c r="N14" i="4"/>
  <c r="B39" i="7" s="1"/>
  <c r="M8" i="5"/>
  <c r="N8" i="5" s="1"/>
  <c r="M10" i="5"/>
  <c r="N10" i="5" s="1"/>
  <c r="N30" i="4"/>
  <c r="M33" i="4"/>
  <c r="N33" i="4" s="1"/>
  <c r="N20" i="3"/>
  <c r="N23" i="3"/>
  <c r="L25" i="3"/>
  <c r="L10" i="6"/>
  <c r="K26" i="3"/>
  <c r="K27" i="3"/>
  <c r="J28" i="3"/>
  <c r="J5" i="5"/>
  <c r="J14" i="6"/>
  <c r="C29" i="7"/>
  <c r="N31" i="4"/>
  <c r="M11" i="5"/>
  <c r="N11" i="5" s="1"/>
  <c r="N15" i="4"/>
  <c r="M9" i="5"/>
  <c r="N9" i="5" s="1"/>
  <c r="N9" i="4" l="1"/>
  <c r="I15" i="6"/>
  <c r="I16" i="6"/>
  <c r="I9" i="6"/>
  <c r="I34" i="4"/>
  <c r="J23" i="4"/>
  <c r="K22" i="4"/>
  <c r="G17" i="4"/>
  <c r="G35" i="4" s="1"/>
  <c r="G5" i="6"/>
  <c r="G6" i="6"/>
  <c r="H12" i="4"/>
  <c r="H16" i="4" s="1"/>
  <c r="I23" i="5"/>
  <c r="I24" i="5" s="1"/>
  <c r="M25" i="3"/>
  <c r="M10" i="6"/>
  <c r="N25" i="3"/>
  <c r="N10" i="6"/>
  <c r="L26" i="3"/>
  <c r="L27" i="3" s="1"/>
  <c r="K28" i="3"/>
  <c r="K5" i="5"/>
  <c r="K14" i="6"/>
  <c r="C30" i="7"/>
  <c r="J12" i="5"/>
  <c r="J22" i="5" s="1"/>
  <c r="J15" i="6" l="1"/>
  <c r="J16" i="6"/>
  <c r="J9" i="6"/>
  <c r="J34" i="4"/>
  <c r="K23" i="4"/>
  <c r="L22" i="4"/>
  <c r="H17" i="4"/>
  <c r="H35" i="4" s="1"/>
  <c r="H5" i="6"/>
  <c r="H6" i="6"/>
  <c r="I12" i="4"/>
  <c r="I16" i="4" s="1"/>
  <c r="J23" i="5"/>
  <c r="J24" i="5" s="1"/>
  <c r="M26" i="3"/>
  <c r="M27" i="3" s="1"/>
  <c r="N26" i="3"/>
  <c r="N27" i="3" s="1"/>
  <c r="L28" i="3"/>
  <c r="L5" i="5"/>
  <c r="L14" i="6"/>
  <c r="C31" i="7"/>
  <c r="K12" i="5"/>
  <c r="K22" i="5" s="1"/>
  <c r="K15" i="6" l="1"/>
  <c r="K16" i="6"/>
  <c r="K9" i="6"/>
  <c r="K34" i="4"/>
  <c r="L23" i="4"/>
  <c r="M22" i="4"/>
  <c r="I17" i="4"/>
  <c r="I35" i="4" s="1"/>
  <c r="I5" i="6"/>
  <c r="I6" i="6"/>
  <c r="J12" i="4"/>
  <c r="J16" i="4" s="1"/>
  <c r="K23" i="5"/>
  <c r="K24" i="5" s="1"/>
  <c r="M28" i="3"/>
  <c r="M5" i="5"/>
  <c r="M12" i="5" s="1"/>
  <c r="M22" i="5" s="1"/>
  <c r="M14" i="6"/>
  <c r="C32" i="7"/>
  <c r="N28" i="3"/>
  <c r="N14" i="6"/>
  <c r="B8" i="7" s="1"/>
  <c r="B6" i="7"/>
  <c r="L12" i="5"/>
  <c r="L22" i="5" s="1"/>
  <c r="N22" i="5" s="1"/>
  <c r="N5" i="5"/>
  <c r="N12" i="5" s="1"/>
  <c r="L15" i="6" l="1"/>
  <c r="L16" i="6"/>
  <c r="L9" i="6"/>
  <c r="L34" i="4"/>
  <c r="M23" i="4"/>
  <c r="N22" i="4"/>
  <c r="J17" i="4"/>
  <c r="J35" i="4" s="1"/>
  <c r="J5" i="6"/>
  <c r="J6" i="6"/>
  <c r="K12" i="4"/>
  <c r="K16" i="4" s="1"/>
  <c r="L23" i="5"/>
  <c r="L24" i="5" s="1"/>
  <c r="M15" i="6" l="1"/>
  <c r="N15" i="6"/>
  <c r="B16" i="7" s="1"/>
  <c r="N16" i="6"/>
  <c r="M16" i="6"/>
  <c r="M9" i="6"/>
  <c r="N9" i="6" s="1"/>
  <c r="B14" i="7" s="1"/>
  <c r="M34" i="4"/>
  <c r="N34" i="4" s="1"/>
  <c r="N23" i="4"/>
  <c r="K17" i="4"/>
  <c r="K35" i="4" s="1"/>
  <c r="K5" i="6"/>
  <c r="K6" i="6"/>
  <c r="L12" i="4"/>
  <c r="L16" i="4" s="1"/>
  <c r="M23" i="5"/>
  <c r="M24" i="5" s="1"/>
  <c r="L17" i="4" l="1"/>
  <c r="L35" i="4" s="1"/>
  <c r="L5" i="6"/>
  <c r="L6" i="6"/>
  <c r="N24" i="5"/>
  <c r="M12" i="4"/>
  <c r="N12" i="4" l="1"/>
  <c r="M16" i="4"/>
  <c r="B10" i="7" l="1"/>
  <c r="B37" i="7"/>
  <c r="M17" i="4"/>
  <c r="N16" i="4"/>
  <c r="M6" i="6"/>
  <c r="N6" i="6" s="1"/>
  <c r="M5" i="6"/>
  <c r="N5" i="6" s="1"/>
  <c r="B12" i="7" s="1"/>
  <c r="M35" i="4" l="1"/>
  <c r="N35" i="4" s="1"/>
  <c r="N17" i="4"/>
</calcChain>
</file>

<file path=xl/sharedStrings.xml><?xml version="1.0" encoding="utf-8"?>
<sst xmlns="http://schemas.openxmlformats.org/spreadsheetml/2006/main" count="313" uniqueCount="250">
  <si>
    <t>📊  camsroy.com</t>
  </si>
  <si>
    <t>Smart Finance Templates  |  Built for Indian SMEs &amp; Founders</t>
  </si>
  <si>
    <t>LINKED 3-STATEMENT MODEL</t>
  </si>
  <si>
    <t>P&amp;L · Balance Sheet · Cash Flow — Fully Linked (Monthly + Annual)</t>
  </si>
  <si>
    <t>Net Profit flows to Retained Earnings · Cash Flow reconciles to Balance Sheet</t>
  </si>
  <si>
    <t>Company Name</t>
  </si>
  <si>
    <t>[Enter Company Name]</t>
  </si>
  <si>
    <t>Financial Year</t>
  </si>
  <si>
    <t>FY 2025-26 (Apr-Mar)</t>
  </si>
  <si>
    <t>Reporting Currency</t>
  </si>
  <si>
    <t>INR (₹)</t>
  </si>
  <si>
    <t>Reporting Basis</t>
  </si>
  <si>
    <t>Monthly, 12 months + Annual</t>
  </si>
  <si>
    <t>Prepared By</t>
  </si>
  <si>
    <t>[Your Name]</t>
  </si>
  <si>
    <t>Report Date</t>
  </si>
  <si>
    <t>[As-on Date]</t>
  </si>
  <si>
    <t>📋  WORKBOOK NAVIGATION</t>
  </si>
  <si>
    <t>⚙</t>
  </si>
  <si>
    <t xml:space="preserve">  SETUP  —  Opening balances, tax rate, depreciation, GST rates</t>
  </si>
  <si>
    <t>📈</t>
  </si>
  <si>
    <t xml:space="preserve">  P&amp;L  —  12-month + Annual Profit &amp; Loss</t>
  </si>
  <si>
    <t>🏛</t>
  </si>
  <si>
    <t xml:space="preserve">  BALANCE SHEET  —  12-month + Annual, Schedule III style — fully derived</t>
  </si>
  <si>
    <t>💵</t>
  </si>
  <si>
    <t xml:space="preserve">  CASH FLOW  —  Indirect method — reconciles exactly to Balance Sheet cash</t>
  </si>
  <si>
    <t>📊</t>
  </si>
  <si>
    <t xml:space="preserve">  RATIO ANALYSIS  —  Liquidity, leverage, and profitability ratios</t>
  </si>
  <si>
    <t xml:space="preserve">  DASHBOARD  —  KPIs and trend charts</t>
  </si>
  <si>
    <t>📖</t>
  </si>
  <si>
    <t xml:space="preserve">  HOW TO USE  —  Step-by-step guide &amp; formula notes</t>
  </si>
  <si>
    <t>🎨  COLOUR LEGEND</t>
  </si>
  <si>
    <t>Blue cells = Input (enter your data here)</t>
  </si>
  <si>
    <t>Green text = Formula linked from another sheet</t>
  </si>
  <si>
    <t>Grey = Calculated (do not edit)</t>
  </si>
  <si>
    <t>Yellow = Balance Sheet check row (should always show 0)</t>
  </si>
  <si>
    <t>💡  WHAT MAKES THIS TEMPLATE DIFFERENT</t>
  </si>
  <si>
    <t>✓</t>
  </si>
  <si>
    <t>Genuinely LINKED — most free templates give you 3 disconnected sheets, not a real model</t>
  </si>
  <si>
    <t>Balance Sheet actually balances — every month, verified with a live check row</t>
  </si>
  <si>
    <t>Cash Flow (Indirect Method) reconciles exactly to the Balance Sheet's cash balance</t>
  </si>
  <si>
    <t>12 months + Annual in one workbook — not three separate downloads</t>
  </si>
  <si>
    <t>GST-aware — Input Credit and Output Liability tracked as real Balance Sheet items</t>
  </si>
  <si>
    <t>Built-in Ratio Analysis — Current Ratio, Debt-Equity, ROE, ROCE — not a separate template</t>
  </si>
  <si>
    <t>© camsroy.com  |  Free for personal &amp; commercial use  |  www.camsroy.com</t>
  </si>
  <si>
    <t>📊  camsroy.com  |  3-STATEMENT MODEL SETUP  —  Opening Balances &amp; Assumptions</t>
  </si>
  <si>
    <t>Configure once. P&amp;L, Balance Sheet and Cash Flow all reference these assumptions automatically.</t>
  </si>
  <si>
    <t>🏦  A. OPENING BALANCE SHEET (as of 1-Apr, start of year)</t>
  </si>
  <si>
    <t>Parameter</t>
  </si>
  <si>
    <t>Value (₹)</t>
  </si>
  <si>
    <t>Notes</t>
  </si>
  <si>
    <t>Opening Gross Block (Fixed Assets)</t>
  </si>
  <si>
    <t>Original cost of all fixed assets</t>
  </si>
  <si>
    <t>Opening Accumulated Depreciation</t>
  </si>
  <si>
    <t>Depreciation charged in prior years</t>
  </si>
  <si>
    <t>Opening Cash &amp; Bank Balance</t>
  </si>
  <si>
    <t>Cash position at start of year</t>
  </si>
  <si>
    <t>Opening Trade Receivables</t>
  </si>
  <si>
    <t>Amounts owed by customers</t>
  </si>
  <si>
    <t>Opening Inventory</t>
  </si>
  <si>
    <t>Stock on hand</t>
  </si>
  <si>
    <t>Opening GST Input Credit Receivable</t>
  </si>
  <si>
    <t>Unutilised input tax credit</t>
  </si>
  <si>
    <t>Opening Share Capital</t>
  </si>
  <si>
    <t>Paid-up equity capital</t>
  </si>
  <si>
    <t>Opening Reserves &amp; Surplus</t>
  </si>
  <si>
    <t>Accumulated retained earnings</t>
  </si>
  <si>
    <t>Opening Term Loan (Long-Term)</t>
  </si>
  <si>
    <t>Outstanding term loan principal</t>
  </si>
  <si>
    <t>Opening Trade Payables</t>
  </si>
  <si>
    <t>Amounts owed to suppliers</t>
  </si>
  <si>
    <t>Opening GST Output Liability</t>
  </si>
  <si>
    <t>GST collected, not yet remitted</t>
  </si>
  <si>
    <t>📐  B. OPERATING ASSUMPTIONS</t>
  </si>
  <si>
    <t>Value</t>
  </si>
  <si>
    <t>Corporate Tax Rate</t>
  </si>
  <si>
    <t>25.17% incl. surcharge+cess (Sec 115BAA)</t>
  </si>
  <si>
    <t>Monthly Depreciation Rate (SLM)</t>
  </si>
  <si>
    <t>≈10%/year straight-line on gross block</t>
  </si>
  <si>
    <t>GST Rate (Blended)</t>
  </si>
  <si>
    <t>Applied to revenue and purchases for GST tracking</t>
  </si>
  <si>
    <t>Receivables Collection Period (Days)</t>
  </si>
  <si>
    <t>Used for working-capital-driven receivables movement</t>
  </si>
  <si>
    <t>Payables Payment Period (Days)</t>
  </si>
  <si>
    <t>Used for working-capital-driven payables movement</t>
  </si>
  <si>
    <t>Inventory Holding Period (Days)</t>
  </si>
  <si>
    <t>Used for working-capital-driven inventory movement</t>
  </si>
  <si>
    <t>Term Loan Interest Rate (p.a.)</t>
  </si>
  <si>
    <t>Annual rate — monthly interest computed on reducing balance</t>
  </si>
  <si>
    <t>Term Loan Monthly Principal Repayment</t>
  </si>
  <si>
    <t>Fixed monthly principal instalment</t>
  </si>
  <si>
    <t>ℹ  All values editable. Opening balances feed Month-1 of the Balance Sheet. Working-capital periods drive Receivables/Payables/Inventory movement in the Cash Flow Statement.  |  © camsroy.com</t>
  </si>
  <si>
    <t>📈  camsroy.com  |  PROFIT &amp; LOSS STATEMENT  —  Monthly (Apr-Mar) + Annual</t>
  </si>
  <si>
    <t>Growth-driven revenue model. Net Profit flows to Balance Sheet Reserves &amp; Surplus automatically.</t>
  </si>
  <si>
    <t>Line Item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</si>
  <si>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</si>
  <si>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</si>
  <si>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</si>
  <si>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</si>
  <si>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</si>
  <si>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</si>
  <si>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</si>
  <si>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</si>
  <si>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</si>
  <si>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</si>
  <si>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</si>
  <si>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</si>
  <si>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ANNUAL</t>
  </si>
  <si>
    <t>Month-1 Base Revenue (₹) — input</t>
  </si>
  <si>
    <t>Monthly Revenue Growth Rate — input</t>
  </si>
  <si>
    <t>Revenue (₹)</t>
  </si>
  <si>
    <t>COGS (% of Revenue) — input</t>
  </si>
  <si>
    <t>Less: Cost of Goods Sold (₹)</t>
  </si>
  <si>
    <t>Gross Profit (₹)</t>
  </si>
  <si>
    <t>💸  OPERATING EXPENSES</t>
  </si>
  <si>
    <t>Salaries &amp; Wages</t>
  </si>
  <si>
    <t>Rent</t>
  </si>
  <si>
    <t>Utilities &amp; Admin</t>
  </si>
  <si>
    <t>Marketing</t>
  </si>
  <si>
    <t>Other OpEx</t>
  </si>
  <si>
    <t>Total Operating Expenses (₹)</t>
  </si>
  <si>
    <t>EBITDA (₹)</t>
  </si>
  <si>
    <t>EBITDA Margin %</t>
  </si>
  <si>
    <t>Depreciation (₹)</t>
  </si>
  <si>
    <t>EBIT (₹)</t>
  </si>
  <si>
    <t>Interest Expense (₹)</t>
  </si>
  <si>
    <t>Profit Before Tax — PBT (₹)</t>
  </si>
  <si>
    <t>Tax (₹)</t>
  </si>
  <si>
    <t>Profit After Tax — PAT (₹)</t>
  </si>
  <si>
    <t>PAT Margin %</t>
  </si>
  <si>
    <t>ℹ  Revenue grows monthly from a Month-1 base. OpEx items escalate independently. Interest computed on the term loan's reducing balance. PAT flows automatically to the Balance Sheet's Reserves &amp; Surplus.  |  © camsroy.com</t>
  </si>
  <si>
    <t>🏛  camsroy.com  |  BALANCE SHEET  —  Monthly (Apr-Mar) + Year-End</t>
  </si>
  <si>
    <t>Fully derived from P&amp;L and Setup. 'Year-End' column = the Mar (closing) position, not a sum.</t>
  </si>
  <si>
    <t>YEAR-END</t>
  </si>
  <si>
    <t>ASSETS</t>
  </si>
  <si>
    <t>Non-Current Assets</t>
  </si>
  <si>
    <t>Gross Block (₹)</t>
  </si>
  <si>
    <t>Less: Accumulated Depreciation (₹)</t>
  </si>
  <si>
    <t>Net Fixed Assets (₹)</t>
  </si>
  <si>
    <t>TOTAL NON-CURRENT ASSETS (₹)</t>
  </si>
  <si>
    <t>Current Assets</t>
  </si>
  <si>
    <t>Cash &amp; Bank Balance (₹) — Plug from Cash Flow</t>
  </si>
  <si>
    <t>Trade Receivables (₹)</t>
  </si>
  <si>
    <t>Inventory (₹)</t>
  </si>
  <si>
    <t>GST Input Credit Receivable (₹)</t>
  </si>
  <si>
    <t>TOTAL CURRENT ASSETS (₹)</t>
  </si>
  <si>
    <t>TOTAL ASSETS (₹)</t>
  </si>
  <si>
    <t>LIABILITIES &amp; EQUITY</t>
  </si>
  <si>
    <t>Shareholders' Funds</t>
  </si>
  <si>
    <t>Share Capital (₹)</t>
  </si>
  <si>
    <t>Reserves &amp; Surplus (₹) — Opening + Cumulative PAT</t>
  </si>
  <si>
    <t>TOTAL SHAREHOLDERS' FUNDS (₹)</t>
  </si>
  <si>
    <t>Non-Current Liabilities</t>
  </si>
  <si>
    <t>Term Loan — Long-Term Portion (₹)</t>
  </si>
  <si>
    <t>TOTAL NON-CURRENT LIABILITIES (₹)</t>
  </si>
  <si>
    <t>Current Liabilities</t>
  </si>
  <si>
    <t>Trade Payables (₹)</t>
  </si>
  <si>
    <t>GST Output Liability (₹)</t>
  </si>
  <si>
    <t>Current Maturities of Term Loan (₹)</t>
  </si>
  <si>
    <t>TOTAL CURRENT LIABILITIES (₹)</t>
  </si>
  <si>
    <t>TOTAL LIABILITIES &amp; EQUITY (₹)</t>
  </si>
  <si>
    <t>Balance Check (Assets − Liab&amp;Eq, should be 0)</t>
  </si>
  <si>
    <t>ℹ  'Year-End' = the Mar (closing) snapshot, not a sum — Balance Sheet is point-in-time, unlike P&amp;L which is a flow. Cash Balance is the plug from the Cash Flow Statement.  |  © camsroy.com</t>
  </si>
  <si>
    <t>💵  camsroy.com  |  CASH FLOW STATEMENT  —  Indirect Method (Monthly + Annual)</t>
  </si>
  <si>
    <t>Reconciles Net Profit to actual cash movement. Closing Cash feeds the Balance Sheet directly.</t>
  </si>
  <si>
    <t>CASH FLOW FROM OPERATING ACTIVITIES</t>
  </si>
  <si>
    <t>Profit After Tax (₹)</t>
  </si>
  <si>
    <t>Add: Depreciation (₹)</t>
  </si>
  <si>
    <t>(Increase)/Decrease in Receivables (₹)</t>
  </si>
  <si>
    <t>(Increase)/Decrease in Inventory (₹)</t>
  </si>
  <si>
    <t>(Increase)/Decrease in GST Input Credit (₹)</t>
  </si>
  <si>
    <t>Increase/(Decrease) in Trade Payables (₹)</t>
  </si>
  <si>
    <t>Increase/(Decrease) in GST Output Liability (₹)</t>
  </si>
  <si>
    <t>NET CASH FROM OPERATIONS (₹)</t>
  </si>
  <si>
    <t>CASH FLOW FROM INVESTING ACTIVITIES</t>
  </si>
  <si>
    <t>Capital Expenditure (₹)</t>
  </si>
  <si>
    <t>NET CASH FROM INVESTING (₹)</t>
  </si>
  <si>
    <t>CASH FLOW FROM FINANCING ACTIVITIES</t>
  </si>
  <si>
    <t>Term Loan Principal Repayment (₹)</t>
  </si>
  <si>
    <t>NET CASH FROM FINANCING (₹)</t>
  </si>
  <si>
    <t>NET CASH FLOW (₹)</t>
  </si>
  <si>
    <t>Opening Cash Balance (₹)</t>
  </si>
  <si>
    <t>Closing Cash Balance (₹)</t>
  </si>
  <si>
    <t>📊  camsroy.com  |  RATIO ANALYSIS  —  Liquidity, Leverage &amp; Profitability</t>
  </si>
  <si>
    <t>Fully derived from Balance Sheet and P&amp;L. No manual inputs.</t>
  </si>
  <si>
    <t>Ratio</t>
  </si>
  <si>
    <t>💧  LIQUIDITY RATIOS</t>
  </si>
  <si>
    <t>Current Ratio (x)</t>
  </si>
  <si>
    <t>Quick Ratio (x) — excl. Inventory</t>
  </si>
  <si>
    <t>⚖  LEVERAGE RATIOS</t>
  </si>
  <si>
    <t>Debt : Equity Ratio (x)</t>
  </si>
  <si>
    <t>Interest Coverage Ratio (x)</t>
  </si>
  <si>
    <t>📈  PROFITABILITY RATIOS</t>
  </si>
  <si>
    <t>Gross Profit Margin %</t>
  </si>
  <si>
    <t>Net Profit Margin %</t>
  </si>
  <si>
    <t>Return on Equity — ROE % (annualised)</t>
  </si>
  <si>
    <t>Return on Capital Employed — ROCE % (annualised)</t>
  </si>
  <si>
    <t>ℹ  Monthly ROE/ROCE are annualised (×12) for comparability. Year-End column uses full-year PAT/EBIT against the closing Balance Sheet.  |  © camsroy.com</t>
  </si>
  <si>
    <t>📊  camsroy.com  |  DASHBOARD  —  KPIs &amp; Trends</t>
  </si>
  <si>
    <t>🎯  KPI SNAPSHOT (Year-End)</t>
  </si>
  <si>
    <t>Annual Revenue (₹)</t>
  </si>
  <si>
    <t>Annual PAT (₹)</t>
  </si>
  <si>
    <t>Year-End Cash Balance (₹)</t>
  </si>
  <si>
    <t>Debt : Equity (x)</t>
  </si>
  <si>
    <t>Return on Equity % (Annual)</t>
  </si>
  <si>
    <t>📈  REVENUE &amp; PAT TREND (Chart Data)</t>
  </si>
  <si>
    <t>Month</t>
  </si>
  <si>
    <t>PAT (₹)</t>
  </si>
  <si>
    <t>🏛  BALANCE SHEET COMPOSITION (Year-End)</t>
  </si>
  <si>
    <t>Component</t>
  </si>
  <si>
    <t>₹</t>
  </si>
  <si>
    <t>Net Fixed Assets</t>
  </si>
  <si>
    <t>Cash &amp; Bank</t>
  </si>
  <si>
    <t>Receivables</t>
  </si>
  <si>
    <t>Inventory</t>
  </si>
  <si>
    <t>📊  camsroy.com  |  HOW TO USE  —  Linked 3-Statement Financial Model</t>
  </si>
  <si>
    <t>STEP-BY-STEP GUIDE</t>
  </si>
  <si>
    <t xml:space="preserve">  Step 1 — SETUP Sheet</t>
  </si>
  <si>
    <t xml:space="preserve">    Enter your Opening Balance Sheet (as of 1-Apr) and operating assumptions (tax rate, depreciation, GST rate, working-capital days, loan terms). Every other sheet is built from these.</t>
  </si>
  <si>
    <t xml:space="preserve">  Step 2 — P&amp;L Sheet</t>
  </si>
  <si>
    <t xml:space="preserve">    Set your Month-1 base revenue and monthly growth rate — revenue compounds forward automatically. Operating expense items escalate independently. PAT flows straight into the Balance Sheet's Reserves &amp; Surplus.</t>
  </si>
  <si>
    <t xml:space="preserve">  Step 3 — BALANCE SHEET (fully derived, read-only)</t>
  </si>
  <si>
    <t xml:space="preserve">    Nothing here is manually typed. Receivables, Inventory, and Payables move with working-capital day assumptions from Setup. GST Input Credit and Output Liability roll forward properly, netting off against each other. Cash is the plug from the Cash Flow Statement.</t>
  </si>
  <si>
    <t xml:space="preserve">  Step 4 — CASH FLOW STATEMENT (Indirect Method)</t>
  </si>
  <si>
    <t xml:space="preserve">    Starts from Net Profit, adds back Depreciation, and adjusts for every working-capital movement (Receivables, Inventory, Payables, GST). Closing Cash feeds directly back into the Balance Sheet — this is what makes the three statements a genuine linked model, not three separate downloads.</t>
  </si>
  <si>
    <t xml:space="preserve">  Step 5 — RATIO ANALYSIS</t>
  </si>
  <si>
    <t xml:space="preserve">    Current Ratio, Quick Ratio, Debt:Equity, Interest Coverage, margins, ROE and ROCE — all computed live from the Balance Sheet and P&amp;L.</t>
  </si>
  <si>
    <t xml:space="preserve">  Step 6 — DASHBOARD</t>
  </si>
  <si>
    <t xml:space="preserve">    KPI snapshot, Revenue &amp; PAT trend, and year-end Balance Sheet composition — the page to check first.</t>
  </si>
  <si>
    <t>THE MOST IMPORTANT ROW IN THE WORKBOOK</t>
  </si>
  <si>
    <t xml:space="preserve">    Balance Sheet row 35 ('Balance Check') must show 0 in every single month. If you change an assumption and this row stops showing 0, something in your edit broke the link between the three statements — check it before trusting any other number.</t>
  </si>
  <si>
    <t>KEY FORMULAS EXPLAINED</t>
  </si>
  <si>
    <t xml:space="preserve">    • Reserves &amp; Surplus (this month) = Reserves (last month) + this month's PAT</t>
  </si>
  <si>
    <t xml:space="preserve">    • Cash (Balance Sheet) = Cash Flow Statement's Closing Cash for that month — the literal link between the two statements</t>
  </si>
  <si>
    <t xml:space="preserve">    • Receivables/Inventory/Payables = Revenue or COGS × (assumed days ÷ 30) — a simplified days-based working capital driver</t>
  </si>
  <si>
    <t xml:space="preserve">    • Current Maturity of Term Loan = MIN(Remaining Balance, 12 × Monthly Principal) — the amount due within the next 12 months, per Schedule III</t>
  </si>
  <si>
    <t xml:space="preserve">    • GST Input/Output Credit roll forward with a MIN-based netting mechanism, so credit utilised against output liability doesn't get double-counted</t>
  </si>
  <si>
    <t>WHY THIS TEMPLATE IS DIFFERENT</t>
  </si>
  <si>
    <t xml:space="preserve">    • Genuinely LINKED — most free templates give you three disconnected sheets with no relationship between them.</t>
  </si>
  <si>
    <t xml:space="preserve">    • Balance Sheet actually balances, every month, verified by a live check row you can see.</t>
  </si>
  <si>
    <t xml:space="preserve">    • Cash Flow (Indirect Method) reconciles exactly to the Balance Sheet's cash balance — not just presented alongside it.</t>
  </si>
  <si>
    <t xml:space="preserve">    • GST Input Credit and Output Liability tracked as real Balance Sheet items, not ignored like most templates do.</t>
  </si>
  <si>
    <t xml:space="preserve">    • Built-in Ratio Analysis — no need for a separate template.</t>
  </si>
  <si>
    <t>CUSTOMISATION TIPS</t>
  </si>
  <si>
    <t xml:space="preserve">    • Add a mid-year capital expenditure: adjust the Capex row in Cash Flow AND the Gross Block formula in Balance Sheet for the relevant months — remember to keep the Balance Check row at 0.</t>
  </si>
  <si>
    <t xml:space="preserve">    • Multiple loans: replicate the Term Loan rows in Balance Sheet and Cash Flow, and add the extra interest to P&amp;L.</t>
  </si>
  <si>
    <t xml:space="preserve">    • Seasonal revenue: replace the flat monthly growth rate with a manually-entered revenue figure per month instead of the compounding formula.</t>
  </si>
  <si>
    <t>MORE FREE TEMPLATES — camsroy.com</t>
  </si>
  <si>
    <t xml:space="preserve">    Visit www.camsroy.com/resources/templates for Budget vs Actual, AR &amp; AP Tracker, Payroll &amp; Salary Register, Inventory &amp; Stock Management, and Break-Even Analysis.</t>
  </si>
  <si>
    <t>© 2025 camsroy.com  |  Free for personal and commercial use  |  www.camsroy.com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</si>
</sst>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\x"/>
  </numFmts>
  <fonts count="28" x14ac:knownFonts="1">
    <font>
      <sz val="11"/>
      <color theme="1"/>
      <name val="Calibri"/>
      <family val="2"/>
      <charset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0"/>
      <color rgb="FF0D1B2A"/>
      <name val="Times New Roman"/>
      <family val="1"/>
    </font>
    <font>
      <b/>
      <sz val="10"/>
      <color rgb="FFFFFFFF"/>
      <name val="Times New Roman"/>
      <family val="1"/>
    </font>
    <font>
      <sz val="9"/>
      <color rgb="FF0D1B2A"/>
      <name val="Times New Roman"/>
      <family val="1"/>
    </font>
    <font>
      <i/>
      <sz val="8"/>
      <color rgb="FF888888"/>
      <name val="Times New Roman"/>
      <family val="1"/>
    </font>
    <font>
      <b/>
      <sz val="9"/>
      <color rgb="FFFFFFFF"/>
      <name val="Times New Roman"/>
      <family val="1"/>
    </font>
    <font>
      <i/>
      <sz val="9"/>
      <color rgb="FF555555"/>
      <name val="Times New Roman"/>
      <family val="1"/>
    </font>
    <font>
      <b/>
      <sz val="9"/>
      <color rgb="FF0D1B2A"/>
      <name val="Times New Roman"/>
      <family val="1"/>
    </font>
    <font>
      <i/>
      <sz val="8"/>
      <color rgb="FF555555"/>
      <name val="Times New Roman"/>
      <family val="1"/>
    </font>
    <font>
      <sz val="9"/>
      <color rgb="FF008000"/>
      <name val="Times New Roman"/>
      <family val="1"/>
    </font>
    <font>
      <b/>
      <sz val="9"/>
      <color rgb="FF117A65"/>
      <name val="Times New Roman"/>
      <family val="1"/>
    </font>
    <font>
      <sz val="9"/>
      <color rgb="FF0000FF"/>
      <name val="Times New Roman"/>
      <family val="1"/>
    </font>
    <font>
      <b/>
      <sz val="9"/>
      <color rgb="FF0000FF"/>
      <name val="Times New Roman"/>
      <family val="1"/>
    </font>
    <font>
      <b/>
      <sz val="22"/>
      <color rgb="FFFFFFFF"/>
      <name val="Times New Roman"/>
      <family val="1"/>
    </font>
    <font>
      <i/>
      <sz val="9"/>
      <color rgb="FFF3E5F5"/>
      <name val="Times New Roman"/>
      <family val="1"/>
    </font>
    <font>
      <b/>
      <sz val="20"/>
      <color rgb="FFFFFFFF"/>
      <name val="Times New Roman"/>
      <family val="1"/>
    </font>
    <font>
      <b/>
      <sz val="13"/>
      <color rgb="FFAED6F1"/>
      <name val="Times New Roman"/>
      <family val="1"/>
    </font>
    <font>
      <i/>
      <sz val="10"/>
      <color rgb="FFD7BDE2"/>
      <name val="Times New Roman"/>
      <family val="1"/>
    </font>
    <font>
      <sz val="10"/>
      <color rgb="FFAED6F1"/>
      <name val="Times New Roman"/>
      <family val="1"/>
    </font>
    <font>
      <b/>
      <sz val="11"/>
      <color rgb="FFAED6F1"/>
      <name val="Times New Roman"/>
      <family val="1"/>
    </font>
    <font>
      <sz val="11"/>
      <color rgb="FFD4AC0D"/>
      <name val="Times New Roman"/>
      <family val="1"/>
    </font>
    <font>
      <sz val="9"/>
      <color rgb="FFBDC3C7"/>
      <name val="Times New Roman"/>
      <family val="1"/>
    </font>
    <font>
      <b/>
      <sz val="10"/>
      <color rgb="FFAED6F1"/>
      <name val="Times New Roman"/>
      <family val="1"/>
    </font>
    <font>
      <b/>
      <sz val="10"/>
      <color rgb="FFD4AC0D"/>
      <name val="Times New Roman"/>
      <family val="1"/>
    </font>
    <font>
      <b/>
      <sz val="9"/>
      <color rgb="FFD4AC0D"/>
      <name val="Times New Roman"/>
      <family val="1"/>
    </font>
    <font>
      <sz val="8"/>
      <color rgb="FF7F8C8D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6C3483"/>
        <bgColor rgb="FF993366"/>
      </patternFill>
    </fill>
    <fill>
      <patternFill patternType="solid">
        <fgColor rgb="FFD6EAF8"/>
        <bgColor rgb="FFD5F5E3"/>
      </patternFill>
    </fill>
    <fill>
      <patternFill patternType="solid">
        <fgColor rgb="FFD5F5E3"/>
        <bgColor rgb="FFD6EAF8"/>
      </patternFill>
    </fill>
    <fill>
      <patternFill patternType="solid">
        <fgColor rgb="FFF2F3F4"/>
        <bgColor rgb="FFF3E5F5"/>
      </patternFill>
    </fill>
    <fill>
      <patternFill patternType="solid">
        <fgColor rgb="FFFCF3CF"/>
        <bgColor rgb="FFFAE5D3"/>
      </patternFill>
    </fill>
    <fill>
      <patternFill patternType="solid">
        <fgColor rgb="FF117A65"/>
        <bgColor rgb="FF008080"/>
      </patternFill>
    </fill>
    <fill>
      <patternFill patternType="solid">
        <fgColor rgb="FF1B4F72"/>
        <bgColor rgb="FF333399"/>
      </patternFill>
    </fill>
    <fill>
      <patternFill patternType="solid">
        <fgColor rgb="FFA04000"/>
        <bgColor rgb="FF993366"/>
      </patternFill>
    </fill>
    <fill>
      <patternFill patternType="solid">
        <fgColor rgb="FFFAE5D3"/>
        <bgColor rgb="FFFCF3CF"/>
      </patternFill>
    </fill>
    <fill>
      <patternFill patternType="solid">
        <fgColor rgb="FFD4AC0D"/>
        <bgColor rgb="FFFFCC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E86C1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/>
      <right/>
      <top/>
      <bottom style="medium">
        <color rgb="FF0D1B2A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5" fillId="6" borderId="2" xfId="0" applyFont="1" applyFill="1" applyBorder="1" applyAlignment="1">
      <alignment horizontal="left" vertical="center" wrapText="1" indent="1"/>
    </xf>
    <xf numFmtId="0" fontId="7" fillId="9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3" fontId="5" fillId="6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5" fontId="5" fillId="6" borderId="2" xfId="0" applyNumberFormat="1" applyFont="1" applyFill="1" applyBorder="1" applyAlignment="1">
      <alignment horizontal="right" vertical="center"/>
    </xf>
    <xf numFmtId="165" fontId="9" fillId="12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164" fontId="9" fillId="12" borderId="2" xfId="0" applyNumberFormat="1" applyFont="1" applyFill="1" applyBorder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3" fontId="9" fillId="6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 wrapText="1" indent="1"/>
    </xf>
    <xf numFmtId="3" fontId="11" fillId="4" borderId="2" xfId="0" applyNumberFormat="1" applyFont="1" applyFill="1" applyBorder="1" applyAlignment="1">
      <alignment horizontal="right" vertical="center"/>
    </xf>
    <xf numFmtId="3" fontId="9" fillId="4" borderId="2" xfId="0" applyNumberFormat="1" applyFont="1" applyFill="1" applyBorder="1" applyAlignment="1">
      <alignment horizontal="right" vertical="center"/>
    </xf>
    <xf numFmtId="0" fontId="5" fillId="11" borderId="2" xfId="0" applyFont="1" applyFill="1" applyBorder="1" applyAlignment="1">
      <alignment horizontal="left" vertical="center" wrapText="1" indent="1"/>
    </xf>
    <xf numFmtId="3" fontId="5" fillId="11" borderId="2" xfId="0" applyNumberFormat="1" applyFont="1" applyFill="1" applyBorder="1" applyAlignment="1">
      <alignment horizontal="right" vertical="center"/>
    </xf>
    <xf numFmtId="3" fontId="9" fillId="11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wrapText="1" indent="1"/>
    </xf>
    <xf numFmtId="3" fontId="5" fillId="5" borderId="2" xfId="0" applyNumberFormat="1" applyFont="1" applyFill="1" applyBorder="1" applyAlignment="1">
      <alignment horizontal="right" vertical="center"/>
    </xf>
    <xf numFmtId="3" fontId="9" fillId="5" borderId="2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 indent="1"/>
    </xf>
    <xf numFmtId="3" fontId="4" fillId="8" borderId="2" xfId="0" applyNumberFormat="1" applyFont="1" applyFill="1" applyBorder="1" applyAlignment="1">
      <alignment horizontal="right" vertical="center"/>
    </xf>
    <xf numFmtId="0" fontId="4" fillId="10" borderId="2" xfId="0" applyFont="1" applyFill="1" applyBorder="1" applyAlignment="1">
      <alignment horizontal="left" vertical="center" wrapText="1" indent="1"/>
    </xf>
    <xf numFmtId="3" fontId="4" fillId="10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 indent="1"/>
    </xf>
    <xf numFmtId="3" fontId="4" fillId="3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 indent="1"/>
    </xf>
    <xf numFmtId="3" fontId="4" fillId="2" borderId="2" xfId="0" applyNumberFormat="1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left" vertical="center" wrapText="1" indent="1"/>
    </xf>
    <xf numFmtId="3" fontId="9" fillId="12" borderId="2" xfId="0" applyNumberFormat="1" applyFont="1" applyFill="1" applyBorder="1" applyAlignment="1">
      <alignment horizontal="right" vertical="center"/>
    </xf>
    <xf numFmtId="3" fontId="14" fillId="4" borderId="2" xfId="0" applyNumberFormat="1" applyFont="1" applyFill="1" applyBorder="1" applyAlignment="1">
      <alignment horizontal="right" vertical="center"/>
    </xf>
    <xf numFmtId="0" fontId="10" fillId="6" borderId="2" xfId="0" applyFont="1" applyFill="1" applyBorder="1" applyAlignment="1">
      <alignment horizontal="left" vertical="center" wrapText="1" indent="1"/>
    </xf>
    <xf numFmtId="10" fontId="14" fillId="4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left" vertical="center" wrapText="1" indent="1"/>
    </xf>
    <xf numFmtId="0" fontId="4" fillId="8" borderId="0" xfId="0" applyFont="1" applyFill="1" applyAlignment="1">
      <alignment horizontal="left" vertical="center" wrapText="1" indent="1"/>
    </xf>
    <xf numFmtId="0" fontId="4" fillId="10" borderId="0" xfId="0" applyFont="1" applyFill="1" applyAlignment="1">
      <alignment horizontal="left" vertical="center" wrapText="1" indent="1"/>
    </xf>
    <xf numFmtId="0" fontId="10" fillId="6" borderId="0" xfId="0" applyFont="1" applyFill="1" applyAlignment="1">
      <alignment horizontal="left" vertical="center" wrapText="1" indent="1"/>
    </xf>
    <xf numFmtId="0" fontId="4" fillId="9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3" fontId="3" fillId="12" borderId="2" xfId="0" applyNumberFormat="1" applyFont="1" applyFill="1" applyBorder="1" applyAlignment="1">
      <alignment horizontal="right" vertical="center"/>
    </xf>
    <xf numFmtId="165" fontId="3" fillId="11" borderId="2" xfId="0" applyNumberFormat="1" applyFont="1" applyFill="1" applyBorder="1" applyAlignment="1">
      <alignment horizontal="right" vertical="center"/>
    </xf>
    <xf numFmtId="164" fontId="3" fillId="12" borderId="2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0" fontId="5" fillId="6" borderId="0" xfId="0" applyFont="1" applyFill="1" applyAlignment="1">
      <alignment horizontal="left" vertical="center" wrapText="1" indent="2"/>
    </xf>
    <xf numFmtId="0" fontId="3" fillId="6" borderId="3" xfId="0" applyFont="1" applyFill="1" applyBorder="1" applyAlignment="1">
      <alignment horizontal="left" vertical="center" wrapText="1" indent="1"/>
    </xf>
    <xf numFmtId="0" fontId="6" fillId="6" borderId="0" xfId="0" applyFont="1" applyFill="1" applyAlignment="1">
      <alignment horizontal="center" vertical="center" wrapText="1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20" fillId="2" borderId="0" xfId="0" applyFont="1" applyFill="1" applyAlignment="1" applyProtection="1">
      <alignment horizontal="left" vertical="center" wrapText="1" indent="1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23" fillId="2" borderId="0" xfId="0" applyFont="1" applyFill="1" applyAlignment="1" applyProtection="1">
      <alignment horizontal="left" vertical="center" wrapText="1" indent="1"/>
      <protection locked="0"/>
    </xf>
    <xf numFmtId="0" fontId="24" fillId="2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Protection="1">
      <protection locked="0"/>
    </xf>
    <xf numFmtId="0" fontId="23" fillId="2" borderId="0" xfId="0" applyFont="1" applyFill="1" applyAlignment="1" applyProtection="1">
      <alignment horizontal="left" vertical="center" wrapText="1" indent="1"/>
      <protection locked="0"/>
    </xf>
    <xf numFmtId="0" fontId="2" fillId="5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25" fillId="2" borderId="0" xfId="0" applyFont="1" applyFill="1" applyAlignment="1" applyProtection="1">
      <alignment horizontal="left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Protection="1"/>
    <xf numFmtId="0" fontId="15" fillId="2" borderId="0" xfId="0" applyFont="1" applyFill="1" applyAlignment="1" applyProtection="1">
      <alignment horizontal="left" vertical="center" wrapText="1"/>
    </xf>
    <xf numFmtId="0" fontId="2" fillId="3" borderId="0" xfId="0" applyFont="1" applyFill="1" applyProtection="1"/>
    <xf numFmtId="0" fontId="16" fillId="3" borderId="0" xfId="0" applyFont="1" applyFill="1" applyAlignment="1" applyProtection="1">
      <alignment horizontal="left" vertical="center" wrapText="1" indent="1"/>
    </xf>
    <xf numFmtId="0" fontId="17" fillId="2" borderId="0" xfId="0" applyFont="1" applyFill="1" applyAlignment="1" applyProtection="1">
      <alignment horizontal="left" vertical="center" wrapText="1"/>
    </xf>
    <xf numFmtId="0" fontId="18" fillId="2" borderId="0" xfId="0" applyFont="1" applyFill="1" applyAlignment="1" applyProtection="1">
      <alignment horizontal="left" vertical="center" wrapText="1"/>
    </xf>
    <xf numFmtId="0" fontId="19" fillId="2" borderId="0" xfId="0" applyFont="1" applyFill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 wrapText="1" inden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left" vertical="center" wrapText="1" indent="1"/>
      <protection locked="0"/>
    </xf>
    <xf numFmtId="3" fontId="13" fillId="4" borderId="2" xfId="0" applyNumberFormat="1" applyFont="1" applyFill="1" applyBorder="1" applyAlignment="1" applyProtection="1">
      <alignment horizontal="right" vertical="center"/>
      <protection locked="0"/>
    </xf>
    <xf numFmtId="0" fontId="2" fillId="6" borderId="2" xfId="0" applyFont="1" applyFill="1" applyBorder="1" applyProtection="1">
      <protection locked="0"/>
    </xf>
    <xf numFmtId="164" fontId="13" fillId="4" borderId="2" xfId="0" applyNumberFormat="1" applyFont="1" applyFill="1" applyBorder="1" applyAlignment="1" applyProtection="1">
      <alignment horizontal="right" vertical="center"/>
      <protection locked="0"/>
    </xf>
    <xf numFmtId="0" fontId="7" fillId="8" borderId="2" xfId="0" applyFont="1" applyFill="1" applyBorder="1" applyAlignment="1" applyProtection="1">
      <alignment horizontal="left" vertical="center" wrapText="1" indent="1"/>
      <protection locked="0"/>
    </xf>
    <xf numFmtId="3" fontId="7" fillId="8" borderId="2" xfId="0" applyNumberFormat="1" applyFont="1" applyFill="1" applyBorder="1" applyAlignment="1" applyProtection="1">
      <alignment horizontal="right" vertical="center"/>
      <protection locked="0"/>
    </xf>
    <xf numFmtId="3" fontId="7" fillId="3" borderId="2" xfId="0" applyNumberFormat="1" applyFont="1" applyFill="1" applyBorder="1" applyAlignment="1" applyProtection="1">
      <alignment horizontal="right" vertical="center"/>
      <protection locked="0"/>
    </xf>
    <xf numFmtId="9" fontId="13" fillId="4" borderId="2" xfId="0" applyNumberFormat="1" applyFont="1" applyFill="1" applyBorder="1" applyAlignment="1" applyProtection="1">
      <alignment horizontal="right" vertical="center"/>
      <protection locked="0"/>
    </xf>
    <xf numFmtId="0" fontId="5" fillId="11" borderId="2" xfId="0" applyFont="1" applyFill="1" applyBorder="1" applyAlignment="1" applyProtection="1">
      <alignment horizontal="left" vertical="center" wrapText="1" indent="1"/>
      <protection locked="0"/>
    </xf>
    <xf numFmtId="3" fontId="5" fillId="11" borderId="2" xfId="0" applyNumberFormat="1" applyFont="1" applyFill="1" applyBorder="1" applyAlignment="1" applyProtection="1">
      <alignment horizontal="right" vertical="center"/>
      <protection locked="0"/>
    </xf>
    <xf numFmtId="3" fontId="9" fillId="11" borderId="2" xfId="0" applyNumberFormat="1" applyFont="1" applyFill="1" applyBorder="1" applyAlignment="1" applyProtection="1">
      <alignment horizontal="right" vertical="center"/>
      <protection locked="0"/>
    </xf>
    <xf numFmtId="0" fontId="9" fillId="5" borderId="2" xfId="0" applyFont="1" applyFill="1" applyBorder="1" applyAlignment="1" applyProtection="1">
      <alignment horizontal="left" vertical="center" wrapText="1" indent="1"/>
      <protection locked="0"/>
    </xf>
    <xf numFmtId="3" fontId="12" fillId="5" borderId="2" xfId="0" applyNumberFormat="1" applyFont="1" applyFill="1" applyBorder="1" applyAlignment="1" applyProtection="1">
      <alignment horizontal="right" vertical="center"/>
      <protection locked="0"/>
    </xf>
    <xf numFmtId="0" fontId="4" fillId="10" borderId="0" xfId="0" applyFont="1" applyFill="1" applyAlignment="1" applyProtection="1">
      <alignment horizontal="left" vertical="center" wrapText="1" indent="1"/>
      <protection locked="0"/>
    </xf>
    <xf numFmtId="0" fontId="5" fillId="6" borderId="2" xfId="0" applyFont="1" applyFill="1" applyBorder="1" applyAlignment="1" applyProtection="1">
      <alignment horizontal="left" vertical="center" wrapText="1" indent="1"/>
      <protection locked="0"/>
    </xf>
    <xf numFmtId="3" fontId="5" fillId="6" borderId="2" xfId="0" applyNumberFormat="1" applyFont="1" applyFill="1" applyBorder="1" applyAlignment="1" applyProtection="1">
      <alignment horizontal="right" vertical="center"/>
      <protection locked="0"/>
    </xf>
    <xf numFmtId="3" fontId="9" fillId="6" borderId="2" xfId="0" applyNumberFormat="1" applyFont="1" applyFill="1" applyBorder="1" applyAlignment="1" applyProtection="1">
      <alignment horizontal="right" vertical="center"/>
      <protection locked="0"/>
    </xf>
    <xf numFmtId="0" fontId="7" fillId="10" borderId="2" xfId="0" applyFont="1" applyFill="1" applyBorder="1" applyAlignment="1" applyProtection="1">
      <alignment horizontal="left" vertical="center" wrapText="1" indent="1"/>
      <protection locked="0"/>
    </xf>
    <xf numFmtId="3" fontId="7" fillId="10" borderId="2" xfId="0" applyNumberFormat="1" applyFont="1" applyFill="1" applyBorder="1" applyAlignment="1" applyProtection="1">
      <alignment horizontal="right" vertical="center"/>
      <protection locked="0"/>
    </xf>
    <xf numFmtId="0" fontId="4" fillId="8" borderId="2" xfId="0" applyFont="1" applyFill="1" applyBorder="1" applyAlignment="1" applyProtection="1">
      <alignment horizontal="left" vertical="center" wrapText="1" indent="1"/>
      <protection locked="0"/>
    </xf>
    <xf numFmtId="3" fontId="4" fillId="8" borderId="2" xfId="0" applyNumberFormat="1" applyFont="1" applyFill="1" applyBorder="1" applyAlignment="1" applyProtection="1">
      <alignment horizontal="right" vertical="center"/>
      <protection locked="0"/>
    </xf>
    <xf numFmtId="0" fontId="8" fillId="6" borderId="2" xfId="0" applyFont="1" applyFill="1" applyBorder="1" applyAlignment="1" applyProtection="1">
      <alignment horizontal="left" vertical="center" wrapText="1" indent="1"/>
      <protection locked="0"/>
    </xf>
    <xf numFmtId="164" fontId="8" fillId="6" borderId="2" xfId="0" applyNumberFormat="1" applyFont="1" applyFill="1" applyBorder="1" applyAlignment="1" applyProtection="1">
      <alignment horizontal="right" vertical="center"/>
      <protection locked="0"/>
    </xf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9" fillId="6" borderId="2" xfId="0" applyFont="1" applyFill="1" applyBorder="1" applyAlignment="1" applyProtection="1">
      <alignment horizontal="left" vertical="center" wrapText="1" indent="1"/>
      <protection locked="0"/>
    </xf>
    <xf numFmtId="0" fontId="10" fillId="6" borderId="0" xfId="0" applyFont="1" applyFill="1" applyAlignment="1" applyProtection="1">
      <alignment horizontal="left" vertical="center" wrapText="1" indent="1"/>
      <protection locked="0"/>
    </xf>
    <xf numFmtId="0" fontId="1" fillId="2" borderId="0" xfId="0" applyFont="1" applyFill="1" applyAlignment="1" applyProtection="1">
      <alignment horizontal="left" vertical="center" wrapText="1" indent="1"/>
    </xf>
    <xf numFmtId="0" fontId="8" fillId="6" borderId="0" xfId="0" applyFont="1" applyFill="1" applyAlignment="1" applyProtection="1">
      <alignment horizontal="left" vertical="center" wrapText="1" indent="1"/>
    </xf>
    <xf numFmtId="0" fontId="4" fillId="8" borderId="0" xfId="0" applyFont="1" applyFill="1" applyAlignment="1" applyProtection="1">
      <alignment horizontal="left" vertical="center" wrapText="1" indent="1"/>
      <protection locked="0"/>
    </xf>
    <xf numFmtId="0" fontId="4" fillId="9" borderId="0" xfId="0" applyFont="1" applyFill="1" applyAlignment="1" applyProtection="1">
      <alignment horizontal="left" vertical="center" wrapText="1" indent="1"/>
      <protection locked="0"/>
    </xf>
    <xf numFmtId="3" fontId="11" fillId="6" borderId="2" xfId="0" applyNumberFormat="1" applyFont="1" applyFill="1" applyBorder="1" applyAlignment="1" applyProtection="1">
      <alignment horizontal="right" vertical="center"/>
      <protection locked="0"/>
    </xf>
    <xf numFmtId="3" fontId="9" fillId="12" borderId="2" xfId="0" applyNumberFormat="1" applyFont="1" applyFill="1" applyBorder="1" applyAlignment="1" applyProtection="1">
      <alignment horizontal="right" vertical="center"/>
      <protection locked="0"/>
    </xf>
    <xf numFmtId="0" fontId="7" fillId="9" borderId="2" xfId="0" applyFont="1" applyFill="1" applyBorder="1" applyAlignment="1" applyProtection="1">
      <alignment horizontal="left" vertical="center" wrapText="1" indent="1"/>
      <protection locked="0"/>
    </xf>
    <xf numFmtId="3" fontId="7" fillId="9" borderId="2" xfId="0" applyNumberFormat="1" applyFont="1" applyFill="1" applyBorder="1" applyAlignment="1" applyProtection="1">
      <alignment horizontal="right" vertical="center"/>
      <protection locked="0"/>
    </xf>
    <xf numFmtId="3" fontId="9" fillId="5" borderId="2" xfId="0" applyNumberFormat="1" applyFont="1" applyFill="1" applyBorder="1" applyAlignment="1" applyProtection="1">
      <alignment horizontal="right" vertical="center"/>
      <protection locked="0"/>
    </xf>
    <xf numFmtId="3" fontId="5" fillId="4" borderId="2" xfId="0" applyNumberFormat="1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left" vertical="center" wrapText="1" indent="1"/>
      <protection locked="0"/>
    </xf>
    <xf numFmtId="3" fontId="4" fillId="3" borderId="2" xfId="0" applyNumberFormat="1" applyFont="1" applyFill="1" applyBorder="1" applyAlignment="1" applyProtection="1">
      <alignment horizontal="right" vertical="center"/>
      <protection locked="0"/>
    </xf>
    <xf numFmtId="0" fontId="5" fillId="5" borderId="2" xfId="0" applyFont="1" applyFill="1" applyBorder="1" applyAlignment="1" applyProtection="1">
      <alignment horizontal="left" vertical="center" wrapText="1" indent="1"/>
      <protection locked="0"/>
    </xf>
    <xf numFmtId="3" fontId="5" fillId="5" borderId="2" xfId="0" applyNumberFormat="1" applyFont="1" applyFill="1" applyBorder="1" applyAlignment="1" applyProtection="1">
      <alignment horizontal="right" vertical="center"/>
      <protection locked="0"/>
    </xf>
    <xf numFmtId="0" fontId="5" fillId="7" borderId="2" xfId="0" applyFont="1" applyFill="1" applyBorder="1" applyAlignment="1" applyProtection="1">
      <alignment horizontal="left" vertical="center" wrapText="1" indent="1"/>
      <protection locked="0"/>
    </xf>
    <xf numFmtId="3" fontId="5" fillId="7" borderId="2" xfId="0" applyNumberFormat="1" applyFont="1" applyFill="1" applyBorder="1" applyAlignment="1" applyProtection="1">
      <alignment horizontal="right" vertical="center"/>
      <protection locked="0"/>
    </xf>
    <xf numFmtId="0" fontId="4" fillId="10" borderId="2" xfId="0" applyFont="1" applyFill="1" applyBorder="1" applyAlignment="1" applyProtection="1">
      <alignment horizontal="left" vertical="center" wrapText="1" indent="1"/>
      <protection locked="0"/>
    </xf>
    <xf numFmtId="3" fontId="4" fillId="10" borderId="2" xfId="0" applyNumberFormat="1" applyFont="1" applyFill="1" applyBorder="1" applyAlignment="1" applyProtection="1">
      <alignment horizontal="right" vertical="center"/>
      <protection locked="0"/>
    </xf>
    <xf numFmtId="0" fontId="8" fillId="7" borderId="2" xfId="0" applyFont="1" applyFill="1" applyBorder="1" applyAlignment="1" applyProtection="1">
      <alignment horizontal="left" vertical="center" wrapText="1" indent="1"/>
      <protection locked="0"/>
    </xf>
    <xf numFmtId="3" fontId="9" fillId="7" borderId="2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7A65"/>
      <rgbColor rgb="FFBDBDBD"/>
      <rgbColor rgb="FF888888"/>
      <rgbColor rgb="FFBDC3C7"/>
      <rgbColor rgb="FF6C3483"/>
      <rgbColor rgb="FFFCF3CF"/>
      <rgbColor rgb="FFD6EAF8"/>
      <rgbColor rgb="FF660066"/>
      <rgbColor rgb="FFFF8080"/>
      <rgbColor rgb="FF0066CC"/>
      <rgbColor rgb="FFD7B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4"/>
      <rgbColor rgb="FFD5F5E3"/>
      <rgbColor rgb="FFF3E5F5"/>
      <rgbColor rgb="FFAED6F1"/>
      <rgbColor rgb="FFD9D9D9"/>
      <rgbColor rgb="FFB3B3B3"/>
      <rgbColor rgb="FFFAE5D3"/>
      <rgbColor rgb="FF2E86C1"/>
      <rgbColor rgb="FF33CCCC"/>
      <rgbColor rgb="FF99CC00"/>
      <rgbColor rgb="FFFFCC00"/>
      <rgbColor rgb="FFD4AC0D"/>
      <rgbColor rgb="FFFF6600"/>
      <rgbColor rgb="FF555555"/>
      <rgbColor rgb="FF7F8C8D"/>
      <rgbColor rgb="FF1B4F72"/>
      <rgbColor rgb="FF339966"/>
      <rgbColor rgb="FF0D1B2A"/>
      <rgbColor rgb="FF333300"/>
      <rgbColor rgb="FFA040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Revenue &amp; PAT Trend (Monthly)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'📈 DASHBOARD'!$B$20</c:f>
              <c:strCache>
                <c:ptCount val="1"/>
                <c:pt idx="0">
                  <c:v>Revenue (₹)</c:v>
                </c:pt>
              </c:strCache>
            </c:strRef>
          </c:tx>
          <c:spPr>
            <a:ln w="24840">
              <a:solidFill>
                <a:srgbClr val="117A6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'📈 DASHBOARD'!$B$21:$B$32</c:f>
              <c:numCache>
                <c:formatCode>#,##0</c:formatCode>
                <c:ptCount val="12"/>
                <c:pt idx="0">
                  <c:v>850000</c:v>
                </c:pt>
                <c:pt idx="1">
                  <c:v>871249.99999999988</c:v>
                </c:pt>
                <c:pt idx="2">
                  <c:v>893031.24999999977</c:v>
                </c:pt>
                <c:pt idx="3">
                  <c:v>915357.03124999965</c:v>
                </c:pt>
                <c:pt idx="4">
                  <c:v>938240.95703124953</c:v>
                </c:pt>
                <c:pt idx="5">
                  <c:v>961696.98095703067</c:v>
                </c:pt>
                <c:pt idx="6">
                  <c:v>985739.40548095631</c:v>
                </c:pt>
                <c:pt idx="7">
                  <c:v>1010382.8906179802</c:v>
                </c:pt>
                <c:pt idx="8">
                  <c:v>1035642.4628834296</c:v>
                </c:pt>
                <c:pt idx="9">
                  <c:v>1061533.5244555152</c:v>
                </c:pt>
                <c:pt idx="10">
                  <c:v>1088071.862566903</c:v>
                </c:pt>
                <c:pt idx="11">
                  <c:v>1115273.6591310755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1-4B8A-A50C-9A0049796FF7}"/>
            </c:ext>
          </c:extLst>
        </c:ser>
        <c:ser>
          <c:idx val="1"/>
          <c:order val="1"/>
          <c:tx>
            <c:strRef>
              <c:f>'📈 DASHBOARD'!$C$20</c:f>
              <c:strCache>
                <c:ptCount val="1"/>
                <c:pt idx="0">
                  <c:v>PAT (₹)</c:v>
                </c:pt>
              </c:strCache>
            </c:strRef>
          </c:tx>
          <c:spPr>
            <a:ln w="24840">
              <a:solidFill>
                <a:srgbClr val="A04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'📈 DASHBOARD'!$C$21:$C$32</c:f>
              <c:numCache>
                <c:formatCode>#,##0</c:formatCode>
                <c:ptCount val="12"/>
                <c:pt idx="0">
                  <c:v>42900.038999999961</c:v>
                </c:pt>
                <c:pt idx="1">
                  <c:v>47652.991166666579</c:v>
                </c:pt>
                <c:pt idx="2">
                  <c:v>52540.085462083254</c:v>
                </c:pt>
                <c:pt idx="3">
                  <c:v>57564.809385168614</c:v>
                </c:pt>
                <c:pt idx="4">
                  <c:v>62730.736933878492</c:v>
                </c:pt>
                <c:pt idx="5">
                  <c:v>68041.530696667731</c:v>
                </c:pt>
                <c:pt idx="6">
                  <c:v>73500.943993539491</c:v>
                </c:pt>
                <c:pt idx="7">
                  <c:v>79112.823067832403</c:v>
                </c:pt>
                <c:pt idx="8">
                  <c:v>84881.109329923667</c:v>
                </c:pt>
                <c:pt idx="9">
                  <c:v>90809.841654053467</c:v>
                </c:pt>
                <c:pt idx="10">
                  <c:v>96903.158729499934</c:v>
                </c:pt>
                <c:pt idx="11">
                  <c:v>103165.30146736662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1-4B8A-A50C-9A004979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2296165"/>
        <c:axId val="6265864"/>
      </c:lineChart>
      <c:catAx>
        <c:axId val="822961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265864"/>
        <c:crosses val="autoZero"/>
        <c:auto val="1"/>
        <c:lblAlgn val="ctr"/>
        <c:lblOffset val="100"/>
        <c:noMultiLvlLbl val="0"/>
      </c:catAx>
      <c:valAx>
        <c:axId val="626586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₹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229616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Balance Sheet Composition — Assets (Year-End)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'📈 DASHBOARD'!$B$35</c:f>
              <c:strCache>
                <c:ptCount val="1"/>
                <c:pt idx="0">
                  <c:v>₹</c:v>
                </c:pt>
              </c:strCache>
            </c:strRef>
          </c:tx>
          <c:spPr>
            <a:solidFill>
              <a:srgbClr val="6C3483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DASHBOARD'!$A$36:$A$39</c:f>
              <c:strCache>
                <c:ptCount val="4"/>
                <c:pt idx="0">
                  <c:v>Net Fixed Assets</c:v>
                </c:pt>
                <c:pt idx="1">
                  <c:v>Cash &amp; Bank</c:v>
                </c:pt>
                <c:pt idx="2">
                  <c:v>Receivables</c:v>
                </c:pt>
                <c:pt idx="3">
                  <c:v>Inventory</c:v>
                </c:pt>
              </c:strCache>
            </c:strRef>
          </c:cat>
          <c:val>
            <c:numRef>
              <c:f>'📈 DASHBOARD'!$B$36:$B$39</c:f>
              <c:numCache>
                <c:formatCode>#,##0</c:formatCode>
                <c:ptCount val="4"/>
                <c:pt idx="0">
                  <c:v>1560960</c:v>
                </c:pt>
                <c:pt idx="1">
                  <c:v>1311289.866657008</c:v>
                </c:pt>
                <c:pt idx="2">
                  <c:v>1672910.4886966133</c:v>
                </c:pt>
                <c:pt idx="3">
                  <c:v>817867.3500294555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1-4B9A-AACE-5269DEFED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65455"/>
        <c:axId val="43341265"/>
      </c:barChart>
      <c:catAx>
        <c:axId val="568654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3341265"/>
        <c:crosses val="autoZero"/>
        <c:auto val="1"/>
        <c:lblAlgn val="ctr"/>
        <c:lblOffset val="100"/>
        <c:noMultiLvlLbl val="0"/>
      </c:catAx>
      <c:valAx>
        <c:axId val="4334126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686545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18</xdr:col>
      <xdr:colOff>4320</xdr:colOff>
      <xdr:row>19</xdr:row>
      <xdr:rowOff>149400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24</xdr:row>
      <xdr:rowOff>0</xdr:rowOff>
    </xdr:from>
    <xdr:to>
      <xdr:col>18</xdr:col>
      <xdr:colOff>4320</xdr:colOff>
      <xdr:row>42</xdr:row>
      <xdr:rowOff>84600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2A"/>
  </sheetPr>
  <dimension ref="A1:G59"/>
  <sheetViews>
    <sheetView tabSelected="1" zoomScaleNormal="100" workbookViewId="0">
      <selection sqref="A1:G11"/>
    </sheetView>
  </sheetViews>
  <sheetFormatPr defaultColWidth="8.7109375" defaultRowHeight="15" x14ac:dyDescent="0.25"/>
  <cols>
    <col min="1" max="1" width="3" style="53" customWidth="1"/>
    <col min="2" max="2" width="32" style="53" customWidth="1"/>
    <col min="3" max="3" width="43.140625" style="53" customWidth="1"/>
    <col min="4" max="4" width="21.5703125" style="53" customWidth="1"/>
    <col min="5" max="16384" width="8.7109375" style="53"/>
  </cols>
  <sheetData>
    <row r="1" spans="1:7" ht="18" customHeight="1" x14ac:dyDescent="0.25">
      <c r="A1" s="69"/>
      <c r="B1" s="69"/>
      <c r="C1" s="69"/>
      <c r="D1" s="69"/>
      <c r="E1" s="69"/>
      <c r="F1" s="69"/>
      <c r="G1" s="69"/>
    </row>
    <row r="2" spans="1:7" ht="31.5" customHeight="1" x14ac:dyDescent="0.25">
      <c r="A2" s="69"/>
      <c r="B2" s="70" t="s">
        <v>0</v>
      </c>
      <c r="C2" s="70"/>
      <c r="D2" s="69"/>
      <c r="E2" s="69"/>
      <c r="F2" s="69"/>
      <c r="G2" s="69"/>
    </row>
    <row r="3" spans="1:7" ht="27.75" customHeight="1" x14ac:dyDescent="0.25">
      <c r="A3" s="69"/>
      <c r="B3" s="70"/>
      <c r="C3" s="70"/>
      <c r="D3" s="69"/>
      <c r="E3" s="69"/>
      <c r="F3" s="69"/>
      <c r="G3" s="69"/>
    </row>
    <row r="4" spans="1:7" ht="18" customHeight="1" x14ac:dyDescent="0.25">
      <c r="A4" s="71"/>
      <c r="B4" s="72" t="s">
        <v>1</v>
      </c>
      <c r="C4" s="72"/>
      <c r="D4" s="71"/>
      <c r="E4" s="71"/>
      <c r="F4" s="71"/>
      <c r="G4" s="71"/>
    </row>
    <row r="5" spans="1:7" ht="18" customHeight="1" x14ac:dyDescent="0.25">
      <c r="A5" s="71"/>
      <c r="B5" s="72"/>
      <c r="C5" s="72"/>
      <c r="D5" s="71"/>
      <c r="E5" s="71"/>
      <c r="F5" s="71"/>
      <c r="G5" s="71"/>
    </row>
    <row r="6" spans="1:7" ht="18" customHeight="1" x14ac:dyDescent="0.25">
      <c r="A6" s="69"/>
      <c r="B6" s="69"/>
      <c r="C6" s="69"/>
      <c r="D6" s="69"/>
      <c r="E6" s="69"/>
      <c r="F6" s="69"/>
      <c r="G6" s="69"/>
    </row>
    <row r="7" spans="1:7" ht="7.5" customHeight="1" x14ac:dyDescent="0.25">
      <c r="A7" s="69"/>
      <c r="B7" s="69"/>
      <c r="C7" s="69"/>
      <c r="D7" s="69"/>
      <c r="E7" s="69"/>
      <c r="F7" s="69"/>
      <c r="G7" s="69"/>
    </row>
    <row r="8" spans="1:7" ht="31.5" customHeight="1" x14ac:dyDescent="0.25">
      <c r="A8" s="69"/>
      <c r="B8" s="73" t="s">
        <v>2</v>
      </c>
      <c r="C8" s="73"/>
      <c r="D8" s="69"/>
      <c r="E8" s="69"/>
      <c r="F8" s="69"/>
      <c r="G8" s="69"/>
    </row>
    <row r="9" spans="1:7" ht="27.75" customHeight="1" x14ac:dyDescent="0.25">
      <c r="A9" s="69"/>
      <c r="B9" s="73"/>
      <c r="C9" s="73"/>
      <c r="D9" s="69"/>
      <c r="E9" s="69"/>
      <c r="F9" s="69"/>
      <c r="G9" s="69"/>
    </row>
    <row r="10" spans="1:7" ht="36.75" customHeight="1" x14ac:dyDescent="0.25">
      <c r="A10" s="69"/>
      <c r="B10" s="74" t="s">
        <v>3</v>
      </c>
      <c r="C10" s="74"/>
      <c r="D10" s="69"/>
      <c r="E10" s="69"/>
      <c r="F10" s="69"/>
      <c r="G10" s="69"/>
    </row>
    <row r="11" spans="1:7" ht="18" customHeight="1" x14ac:dyDescent="0.25">
      <c r="A11" s="69"/>
      <c r="B11" s="75" t="s">
        <v>4</v>
      </c>
      <c r="C11" s="75"/>
      <c r="D11" s="69"/>
      <c r="E11" s="69"/>
      <c r="F11" s="69"/>
      <c r="G11" s="69"/>
    </row>
    <row r="12" spans="1:7" ht="18" customHeight="1" x14ac:dyDescent="0.25">
      <c r="A12" s="52"/>
      <c r="B12" s="52"/>
      <c r="C12" s="52"/>
      <c r="D12" s="52"/>
      <c r="E12" s="52"/>
      <c r="F12" s="52"/>
      <c r="G12" s="52"/>
    </row>
    <row r="13" spans="1:7" ht="3" customHeight="1" x14ac:dyDescent="0.25">
      <c r="A13" s="52"/>
      <c r="B13" s="54"/>
      <c r="C13" s="54"/>
      <c r="D13" s="54"/>
      <c r="E13" s="52"/>
      <c r="F13" s="52"/>
      <c r="G13" s="52"/>
    </row>
    <row r="14" spans="1:7" ht="18" customHeight="1" x14ac:dyDescent="0.25">
      <c r="A14" s="52"/>
      <c r="B14" s="52"/>
      <c r="C14" s="52"/>
      <c r="D14" s="52"/>
      <c r="E14" s="52"/>
      <c r="F14" s="52"/>
      <c r="G14" s="52"/>
    </row>
    <row r="15" spans="1:7" ht="19.5" customHeight="1" x14ac:dyDescent="0.25">
      <c r="A15" s="52"/>
      <c r="B15" s="55" t="s">
        <v>5</v>
      </c>
      <c r="C15" s="56" t="s">
        <v>6</v>
      </c>
      <c r="D15" s="52"/>
      <c r="E15" s="52"/>
      <c r="F15" s="52"/>
      <c r="G15" s="52"/>
    </row>
    <row r="16" spans="1:7" ht="19.5" customHeight="1" x14ac:dyDescent="0.25">
      <c r="A16" s="52"/>
      <c r="B16" s="55" t="s">
        <v>7</v>
      </c>
      <c r="C16" s="56" t="s">
        <v>8</v>
      </c>
      <c r="D16" s="52"/>
      <c r="E16" s="52"/>
      <c r="F16" s="52"/>
      <c r="G16" s="52"/>
    </row>
    <row r="17" spans="1:7" ht="19.5" customHeight="1" x14ac:dyDescent="0.25">
      <c r="A17" s="52"/>
      <c r="B17" s="55" t="s">
        <v>9</v>
      </c>
      <c r="C17" s="56" t="s">
        <v>10</v>
      </c>
      <c r="D17" s="52"/>
      <c r="E17" s="52"/>
      <c r="F17" s="52"/>
      <c r="G17" s="52"/>
    </row>
    <row r="18" spans="1:7" ht="19.5" customHeight="1" x14ac:dyDescent="0.25">
      <c r="A18" s="52"/>
      <c r="B18" s="55" t="s">
        <v>11</v>
      </c>
      <c r="C18" s="56" t="s">
        <v>12</v>
      </c>
      <c r="D18" s="52"/>
      <c r="E18" s="52"/>
      <c r="F18" s="52"/>
      <c r="G18" s="52"/>
    </row>
    <row r="19" spans="1:7" ht="19.5" customHeight="1" x14ac:dyDescent="0.25">
      <c r="A19" s="52"/>
      <c r="B19" s="55" t="s">
        <v>13</v>
      </c>
      <c r="C19" s="56" t="s">
        <v>14</v>
      </c>
      <c r="D19" s="52"/>
      <c r="E19" s="52"/>
      <c r="F19" s="52"/>
      <c r="G19" s="52"/>
    </row>
    <row r="20" spans="1:7" ht="19.5" customHeight="1" x14ac:dyDescent="0.25">
      <c r="A20" s="52"/>
      <c r="B20" s="55" t="s">
        <v>15</v>
      </c>
      <c r="C20" s="56" t="s">
        <v>16</v>
      </c>
      <c r="D20" s="52"/>
      <c r="E20" s="52"/>
      <c r="F20" s="52"/>
      <c r="G20" s="52"/>
    </row>
    <row r="21" spans="1:7" ht="18" customHeight="1" x14ac:dyDescent="0.25">
      <c r="A21" s="52"/>
      <c r="B21" s="52"/>
      <c r="C21" s="52"/>
      <c r="D21" s="52"/>
      <c r="E21" s="52"/>
      <c r="F21" s="52"/>
      <c r="G21" s="52"/>
    </row>
    <row r="22" spans="1:7" ht="7.5" customHeight="1" x14ac:dyDescent="0.25">
      <c r="A22" s="52"/>
      <c r="B22" s="52"/>
      <c r="C22" s="52"/>
      <c r="D22" s="52"/>
      <c r="E22" s="52"/>
      <c r="F22" s="52"/>
      <c r="G22" s="52"/>
    </row>
    <row r="23" spans="1:7" ht="21.75" customHeight="1" x14ac:dyDescent="0.25">
      <c r="A23" s="52"/>
      <c r="B23" s="57" t="s">
        <v>17</v>
      </c>
      <c r="C23" s="57"/>
      <c r="D23" s="52"/>
      <c r="E23" s="52"/>
      <c r="F23" s="52"/>
      <c r="G23" s="52"/>
    </row>
    <row r="24" spans="1:7" ht="35.25" customHeight="1" x14ac:dyDescent="0.25">
      <c r="A24" s="52"/>
      <c r="B24" s="58" t="s">
        <v>18</v>
      </c>
      <c r="C24" s="59" t="s">
        <v>19</v>
      </c>
      <c r="D24" s="52"/>
      <c r="E24" s="52"/>
      <c r="F24" s="52"/>
      <c r="G24" s="52"/>
    </row>
    <row r="25" spans="1:7" ht="18.75" customHeight="1" x14ac:dyDescent="0.25">
      <c r="A25" s="52"/>
      <c r="B25" s="58" t="s">
        <v>20</v>
      </c>
      <c r="C25" s="59" t="s">
        <v>21</v>
      </c>
      <c r="D25" s="52"/>
      <c r="E25" s="52"/>
      <c r="F25" s="52"/>
      <c r="G25" s="52"/>
    </row>
    <row r="26" spans="1:7" ht="29.25" customHeight="1" x14ac:dyDescent="0.25">
      <c r="A26" s="52"/>
      <c r="B26" s="58" t="s">
        <v>22</v>
      </c>
      <c r="C26" s="59" t="s">
        <v>23</v>
      </c>
      <c r="D26" s="52"/>
      <c r="E26" s="52"/>
      <c r="F26" s="52"/>
      <c r="G26" s="52"/>
    </row>
    <row r="27" spans="1:7" ht="33.75" customHeight="1" x14ac:dyDescent="0.25">
      <c r="A27" s="52"/>
      <c r="B27" s="58" t="s">
        <v>24</v>
      </c>
      <c r="C27" s="59" t="s">
        <v>25</v>
      </c>
      <c r="D27" s="52"/>
      <c r="E27" s="52"/>
      <c r="F27" s="52"/>
      <c r="G27" s="52"/>
    </row>
    <row r="28" spans="1:7" ht="30.75" customHeight="1" x14ac:dyDescent="0.25">
      <c r="A28" s="52"/>
      <c r="B28" s="58" t="s">
        <v>26</v>
      </c>
      <c r="C28" s="59" t="s">
        <v>27</v>
      </c>
      <c r="D28" s="52"/>
      <c r="E28" s="52"/>
      <c r="F28" s="52"/>
      <c r="G28" s="52"/>
    </row>
    <row r="29" spans="1:7" ht="18.75" customHeight="1" x14ac:dyDescent="0.25">
      <c r="A29" s="52"/>
      <c r="B29" s="58" t="s">
        <v>20</v>
      </c>
      <c r="C29" s="59" t="s">
        <v>28</v>
      </c>
      <c r="D29" s="52"/>
      <c r="E29" s="52"/>
      <c r="F29" s="52"/>
      <c r="G29" s="52"/>
    </row>
    <row r="30" spans="1:7" ht="18.75" customHeight="1" x14ac:dyDescent="0.25">
      <c r="A30" s="52"/>
      <c r="B30" s="58" t="s">
        <v>29</v>
      </c>
      <c r="C30" s="59" t="s">
        <v>30</v>
      </c>
      <c r="D30" s="52"/>
      <c r="E30" s="52"/>
      <c r="F30" s="52"/>
      <c r="G30" s="52"/>
    </row>
    <row r="31" spans="1:7" ht="18" customHeight="1" x14ac:dyDescent="0.25">
      <c r="A31" s="52"/>
      <c r="B31" s="52"/>
      <c r="C31" s="52"/>
      <c r="D31" s="52"/>
      <c r="E31" s="52"/>
      <c r="F31" s="52"/>
      <c r="G31" s="52"/>
    </row>
    <row r="32" spans="1:7" ht="7.5" customHeight="1" x14ac:dyDescent="0.25">
      <c r="A32" s="52"/>
      <c r="B32" s="52"/>
      <c r="C32" s="52"/>
      <c r="D32" s="52"/>
      <c r="E32" s="52"/>
      <c r="F32" s="52"/>
      <c r="G32" s="52"/>
    </row>
    <row r="33" spans="1:7" ht="19.5" customHeight="1" x14ac:dyDescent="0.25">
      <c r="A33" s="52"/>
      <c r="B33" s="60" t="s">
        <v>31</v>
      </c>
      <c r="C33" s="60"/>
      <c r="D33" s="52"/>
      <c r="E33" s="52"/>
      <c r="F33" s="52"/>
      <c r="G33" s="52"/>
    </row>
    <row r="34" spans="1:7" ht="18" customHeight="1" x14ac:dyDescent="0.25">
      <c r="A34" s="52"/>
      <c r="B34" s="61"/>
      <c r="C34" s="62" t="s">
        <v>32</v>
      </c>
      <c r="D34" s="62"/>
      <c r="E34" s="52"/>
      <c r="F34" s="52"/>
      <c r="G34" s="52"/>
    </row>
    <row r="35" spans="1:7" ht="18" customHeight="1" x14ac:dyDescent="0.25">
      <c r="A35" s="52"/>
      <c r="B35" s="63"/>
      <c r="C35" s="62" t="s">
        <v>33</v>
      </c>
      <c r="D35" s="62"/>
      <c r="E35" s="52"/>
      <c r="F35" s="52"/>
      <c r="G35" s="52"/>
    </row>
    <row r="36" spans="1:7" ht="18" customHeight="1" x14ac:dyDescent="0.25">
      <c r="A36" s="52"/>
      <c r="B36" s="64"/>
      <c r="C36" s="62" t="s">
        <v>34</v>
      </c>
      <c r="D36" s="62"/>
      <c r="E36" s="52"/>
      <c r="F36" s="52"/>
      <c r="G36" s="52"/>
    </row>
    <row r="37" spans="1:7" ht="18" customHeight="1" x14ac:dyDescent="0.25">
      <c r="A37" s="52"/>
      <c r="B37" s="65"/>
      <c r="C37" s="62" t="s">
        <v>35</v>
      </c>
      <c r="D37" s="62"/>
      <c r="E37" s="52"/>
      <c r="F37" s="52"/>
      <c r="G37" s="52"/>
    </row>
    <row r="38" spans="1:7" ht="18" customHeight="1" x14ac:dyDescent="0.25">
      <c r="A38" s="52"/>
      <c r="B38" s="52"/>
      <c r="C38" s="52"/>
      <c r="D38" s="52"/>
      <c r="E38" s="52"/>
      <c r="F38" s="52"/>
      <c r="G38" s="52"/>
    </row>
    <row r="39" spans="1:7" ht="19.5" customHeight="1" x14ac:dyDescent="0.25">
      <c r="A39" s="52"/>
      <c r="B39" s="66" t="s">
        <v>36</v>
      </c>
      <c r="C39" s="66"/>
      <c r="D39" s="52"/>
      <c r="E39" s="52"/>
      <c r="F39" s="52"/>
      <c r="G39" s="52"/>
    </row>
    <row r="40" spans="1:7" ht="25.5" customHeight="1" x14ac:dyDescent="0.25">
      <c r="A40" s="52"/>
      <c r="B40" s="67" t="s">
        <v>37</v>
      </c>
      <c r="C40" s="62" t="s">
        <v>38</v>
      </c>
      <c r="D40" s="62"/>
      <c r="E40" s="52"/>
      <c r="F40" s="52"/>
      <c r="G40" s="52"/>
    </row>
    <row r="41" spans="1:7" ht="16.5" customHeight="1" x14ac:dyDescent="0.25">
      <c r="A41" s="52"/>
      <c r="B41" s="67" t="s">
        <v>37</v>
      </c>
      <c r="C41" s="62" t="s">
        <v>39</v>
      </c>
      <c r="D41" s="62"/>
      <c r="E41" s="52"/>
      <c r="F41" s="52"/>
      <c r="G41" s="52"/>
    </row>
    <row r="42" spans="1:7" ht="16.5" customHeight="1" x14ac:dyDescent="0.25">
      <c r="A42" s="52"/>
      <c r="B42" s="67" t="s">
        <v>37</v>
      </c>
      <c r="C42" s="62" t="s">
        <v>40</v>
      </c>
      <c r="D42" s="62"/>
      <c r="E42" s="52"/>
      <c r="F42" s="52"/>
      <c r="G42" s="52"/>
    </row>
    <row r="43" spans="1:7" ht="16.5" customHeight="1" x14ac:dyDescent="0.25">
      <c r="A43" s="52"/>
      <c r="B43" s="67" t="s">
        <v>37</v>
      </c>
      <c r="C43" s="62" t="s">
        <v>41</v>
      </c>
      <c r="D43" s="62"/>
      <c r="E43" s="52"/>
      <c r="F43" s="52"/>
      <c r="G43" s="52"/>
    </row>
    <row r="44" spans="1:7" ht="16.5" customHeight="1" x14ac:dyDescent="0.25">
      <c r="A44" s="52"/>
      <c r="B44" s="67" t="s">
        <v>37</v>
      </c>
      <c r="C44" s="62" t="s">
        <v>42</v>
      </c>
      <c r="D44" s="62"/>
      <c r="E44" s="52"/>
      <c r="F44" s="52"/>
      <c r="G44" s="52"/>
    </row>
    <row r="45" spans="1:7" ht="16.5" customHeight="1" x14ac:dyDescent="0.25">
      <c r="A45" s="52"/>
      <c r="B45" s="67" t="s">
        <v>37</v>
      </c>
      <c r="C45" s="62" t="s">
        <v>43</v>
      </c>
      <c r="D45" s="62"/>
      <c r="E45" s="52"/>
      <c r="F45" s="52"/>
      <c r="G45" s="52"/>
    </row>
    <row r="46" spans="1:7" ht="18" customHeight="1" x14ac:dyDescent="0.25">
      <c r="A46" s="52"/>
      <c r="B46" s="52"/>
      <c r="C46" s="52"/>
      <c r="D46" s="52"/>
      <c r="E46" s="52"/>
      <c r="F46" s="52"/>
      <c r="G46" s="52"/>
    </row>
    <row r="47" spans="1:7" ht="18" customHeight="1" x14ac:dyDescent="0.25">
      <c r="A47" s="52"/>
      <c r="B47" s="52"/>
      <c r="C47" s="52"/>
      <c r="D47" s="52"/>
      <c r="E47" s="52"/>
      <c r="F47" s="52"/>
      <c r="G47" s="52"/>
    </row>
    <row r="48" spans="1:7" ht="18" customHeight="1" x14ac:dyDescent="0.25">
      <c r="A48" s="52"/>
      <c r="B48" s="52"/>
      <c r="C48" s="52"/>
      <c r="D48" s="52"/>
      <c r="E48" s="52"/>
      <c r="F48" s="52"/>
      <c r="G48" s="52"/>
    </row>
    <row r="49" spans="1:7" ht="18" customHeight="1" x14ac:dyDescent="0.25">
      <c r="A49" s="52"/>
      <c r="B49" s="52"/>
      <c r="C49" s="52"/>
      <c r="D49" s="52"/>
      <c r="E49" s="52"/>
      <c r="F49" s="52"/>
      <c r="G49" s="52"/>
    </row>
    <row r="50" spans="1:7" ht="18" customHeight="1" x14ac:dyDescent="0.25">
      <c r="A50" s="52"/>
      <c r="B50" s="52"/>
      <c r="C50" s="52"/>
      <c r="D50" s="52"/>
      <c r="E50" s="52"/>
      <c r="F50" s="52"/>
      <c r="G50" s="52"/>
    </row>
    <row r="51" spans="1:7" ht="18" customHeight="1" x14ac:dyDescent="0.25">
      <c r="A51" s="52"/>
      <c r="B51" s="52"/>
      <c r="C51" s="52"/>
      <c r="D51" s="52"/>
      <c r="E51" s="52"/>
      <c r="F51" s="52"/>
      <c r="G51" s="52"/>
    </row>
    <row r="52" spans="1:7" ht="18" customHeight="1" x14ac:dyDescent="0.25">
      <c r="A52" s="52"/>
      <c r="B52" s="52"/>
      <c r="C52" s="52"/>
      <c r="D52" s="52"/>
      <c r="E52" s="52"/>
      <c r="F52" s="52"/>
      <c r="G52" s="52"/>
    </row>
    <row r="53" spans="1:7" ht="18" customHeight="1" x14ac:dyDescent="0.25">
      <c r="A53" s="52"/>
      <c r="B53" s="52"/>
      <c r="C53" s="52"/>
      <c r="D53" s="52"/>
      <c r="E53" s="52"/>
      <c r="F53" s="52"/>
      <c r="G53" s="52"/>
    </row>
    <row r="54" spans="1:7" ht="18" customHeight="1" x14ac:dyDescent="0.25">
      <c r="A54" s="52"/>
      <c r="B54" s="52"/>
      <c r="C54" s="52"/>
      <c r="D54" s="52"/>
      <c r="E54" s="52"/>
      <c r="F54" s="52"/>
      <c r="G54" s="52"/>
    </row>
    <row r="55" spans="1:7" ht="18" customHeight="1" x14ac:dyDescent="0.25">
      <c r="A55" s="52"/>
      <c r="B55" s="52"/>
      <c r="C55" s="52"/>
      <c r="D55" s="52"/>
      <c r="E55" s="52"/>
      <c r="F55" s="52"/>
      <c r="G55" s="52"/>
    </row>
    <row r="56" spans="1:7" ht="18" customHeight="1" x14ac:dyDescent="0.25">
      <c r="A56" s="52"/>
      <c r="B56" s="52"/>
      <c r="C56" s="52"/>
      <c r="D56" s="52"/>
      <c r="E56" s="52"/>
      <c r="F56" s="52"/>
      <c r="G56" s="52"/>
    </row>
    <row r="57" spans="1:7" ht="18" customHeight="1" x14ac:dyDescent="0.25">
      <c r="A57" s="52"/>
      <c r="B57" s="52"/>
      <c r="C57" s="52"/>
      <c r="D57" s="52"/>
      <c r="E57" s="52"/>
      <c r="F57" s="52"/>
      <c r="G57" s="52"/>
    </row>
    <row r="58" spans="1:7" ht="15.75" customHeight="1" x14ac:dyDescent="0.25">
      <c r="A58" s="52"/>
      <c r="B58" s="68" t="s">
        <v>44</v>
      </c>
      <c r="C58" s="68"/>
      <c r="D58" s="52"/>
      <c r="E58" s="52"/>
      <c r="F58" s="52"/>
      <c r="G58" s="52"/>
    </row>
    <row r="59" spans="1:7" ht="18" customHeight="1" x14ac:dyDescent="0.25">
      <c r="A59" s="52"/>
      <c r="B59" s="52"/>
      <c r="C59" s="52"/>
      <c r="D59" s="52"/>
      <c r="E59" s="52"/>
      <c r="F59" s="52"/>
      <c r="G59" s="52"/>
    </row>
  </sheetData>
  <sheetProtection algorithmName="SHA-512" hashValue="lwzsh0hNu+ulrClh82Oel0EIwr0KGcEakz+9z5hXFKru/pLIm/i7S2ZmLNQc6PxQSDslmYa2rFnXwadtdRY9HQ==" saltValue="VUwwp95qGaSRdUeVxrsL8A==" spinCount="100000" sheet="1" objects="1" scenarios="1"/>
  <mergeCells count="19">
    <mergeCell ref="B2:C3"/>
    <mergeCell ref="B4:C5"/>
    <mergeCell ref="B8:C9"/>
    <mergeCell ref="B10:C10"/>
    <mergeCell ref="B11:C11"/>
    <mergeCell ref="B23:C23"/>
    <mergeCell ref="B33:C33"/>
    <mergeCell ref="C34:D34"/>
    <mergeCell ref="C35:D35"/>
    <mergeCell ref="C36:D36"/>
    <mergeCell ref="C43:D43"/>
    <mergeCell ref="C44:D44"/>
    <mergeCell ref="C45:D45"/>
    <mergeCell ref="B58:C58"/>
    <mergeCell ref="C37:D37"/>
    <mergeCell ref="B39:C39"/>
    <mergeCell ref="C40:D40"/>
    <mergeCell ref="C41:D41"/>
    <mergeCell ref="C42:D4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C3483"/>
  </sheetPr>
  <dimension ref="A1:C28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38" style="1" customWidth="1"/>
    <col min="2" max="2" width="18" style="1" customWidth="1"/>
    <col min="3" max="3" width="34" style="1" customWidth="1"/>
    <col min="4" max="16384" width="8.7109375" style="1"/>
  </cols>
  <sheetData>
    <row r="1" spans="1:3" ht="30" customHeight="1" x14ac:dyDescent="0.25">
      <c r="A1" s="37" t="s">
        <v>45</v>
      </c>
      <c r="B1" s="37"/>
      <c r="C1" s="37"/>
    </row>
    <row r="2" spans="1:3" ht="15" customHeight="1" x14ac:dyDescent="0.25">
      <c r="A2" s="38" t="s">
        <v>46</v>
      </c>
      <c r="B2" s="38"/>
      <c r="C2" s="38"/>
    </row>
    <row r="3" spans="1:3" ht="21.75" customHeight="1" x14ac:dyDescent="0.25">
      <c r="A3" s="39" t="s">
        <v>47</v>
      </c>
      <c r="B3" s="39"/>
      <c r="C3" s="39"/>
    </row>
    <row r="4" spans="1:3" ht="19.5" customHeight="1" x14ac:dyDescent="0.25">
      <c r="A4" s="3" t="s">
        <v>48</v>
      </c>
      <c r="B4" s="3" t="s">
        <v>49</v>
      </c>
      <c r="C4" s="3" t="s">
        <v>50</v>
      </c>
    </row>
    <row r="5" spans="1:3" ht="15" customHeight="1" x14ac:dyDescent="0.25">
      <c r="A5" s="2" t="s">
        <v>51</v>
      </c>
      <c r="B5" s="34">
        <v>2400000</v>
      </c>
      <c r="C5" s="35" t="s">
        <v>52</v>
      </c>
    </row>
    <row r="6" spans="1:3" ht="15" customHeight="1" x14ac:dyDescent="0.25">
      <c r="A6" s="2" t="s">
        <v>53</v>
      </c>
      <c r="B6" s="34">
        <v>600000</v>
      </c>
      <c r="C6" s="35" t="s">
        <v>54</v>
      </c>
    </row>
    <row r="7" spans="1:3" ht="15" customHeight="1" x14ac:dyDescent="0.25">
      <c r="A7" s="2" t="s">
        <v>55</v>
      </c>
      <c r="B7" s="34">
        <v>920000</v>
      </c>
      <c r="C7" s="35" t="s">
        <v>56</v>
      </c>
    </row>
    <row r="8" spans="1:3" ht="15" customHeight="1" x14ac:dyDescent="0.25">
      <c r="A8" s="2" t="s">
        <v>57</v>
      </c>
      <c r="B8" s="34">
        <v>480000</v>
      </c>
      <c r="C8" s="35" t="s">
        <v>58</v>
      </c>
    </row>
    <row r="9" spans="1:3" ht="15" customHeight="1" x14ac:dyDescent="0.25">
      <c r="A9" s="2" t="s">
        <v>59</v>
      </c>
      <c r="B9" s="34">
        <v>320000</v>
      </c>
      <c r="C9" s="35" t="s">
        <v>60</v>
      </c>
    </row>
    <row r="10" spans="1:3" ht="15" customHeight="1" x14ac:dyDescent="0.25">
      <c r="A10" s="2" t="s">
        <v>61</v>
      </c>
      <c r="B10" s="34">
        <v>45000</v>
      </c>
      <c r="C10" s="35" t="s">
        <v>62</v>
      </c>
    </row>
    <row r="11" spans="1:3" ht="15" customHeight="1" x14ac:dyDescent="0.25">
      <c r="A11" s="2" t="s">
        <v>63</v>
      </c>
      <c r="B11" s="34">
        <v>1500000</v>
      </c>
      <c r="C11" s="35" t="s">
        <v>64</v>
      </c>
    </row>
    <row r="12" spans="1:3" ht="15" customHeight="1" x14ac:dyDescent="0.25">
      <c r="A12" s="2" t="s">
        <v>65</v>
      </c>
      <c r="B12" s="34">
        <v>850000</v>
      </c>
      <c r="C12" s="35" t="s">
        <v>66</v>
      </c>
    </row>
    <row r="13" spans="1:3" ht="15" customHeight="1" x14ac:dyDescent="0.25">
      <c r="A13" s="2" t="s">
        <v>67</v>
      </c>
      <c r="B13" s="34">
        <v>900000</v>
      </c>
      <c r="C13" s="35" t="s">
        <v>68</v>
      </c>
    </row>
    <row r="14" spans="1:3" ht="15" customHeight="1" x14ac:dyDescent="0.25">
      <c r="A14" s="2" t="s">
        <v>69</v>
      </c>
      <c r="B14" s="34">
        <v>280000</v>
      </c>
      <c r="C14" s="35" t="s">
        <v>70</v>
      </c>
    </row>
    <row r="15" spans="1:3" ht="15" customHeight="1" x14ac:dyDescent="0.25">
      <c r="A15" s="2" t="s">
        <v>71</v>
      </c>
      <c r="B15" s="34">
        <v>35000</v>
      </c>
      <c r="C15" s="35" t="s">
        <v>72</v>
      </c>
    </row>
    <row r="17" spans="1:3" ht="21.75" customHeight="1" x14ac:dyDescent="0.25">
      <c r="A17" s="40" t="s">
        <v>73</v>
      </c>
      <c r="B17" s="40"/>
      <c r="C17" s="40"/>
    </row>
    <row r="18" spans="1:3" ht="19.5" customHeight="1" x14ac:dyDescent="0.25">
      <c r="A18" s="3" t="s">
        <v>48</v>
      </c>
      <c r="B18" s="3" t="s">
        <v>74</v>
      </c>
      <c r="C18" s="3" t="s">
        <v>50</v>
      </c>
    </row>
    <row r="19" spans="1:3" ht="15" customHeight="1" x14ac:dyDescent="0.25">
      <c r="A19" s="2" t="s">
        <v>75</v>
      </c>
      <c r="B19" s="36">
        <v>0.25169999999999998</v>
      </c>
      <c r="C19" s="35" t="s">
        <v>76</v>
      </c>
    </row>
    <row r="20" spans="1:3" ht="15" customHeight="1" x14ac:dyDescent="0.25">
      <c r="A20" s="2" t="s">
        <v>77</v>
      </c>
      <c r="B20" s="36">
        <v>8.3000000000000001E-3</v>
      </c>
      <c r="C20" s="35" t="s">
        <v>78</v>
      </c>
    </row>
    <row r="21" spans="1:3" ht="18.75" customHeight="1" x14ac:dyDescent="0.25">
      <c r="A21" s="2" t="s">
        <v>79</v>
      </c>
      <c r="B21" s="36">
        <v>0.18</v>
      </c>
      <c r="C21" s="35" t="s">
        <v>80</v>
      </c>
    </row>
    <row r="22" spans="1:3" ht="18.75" customHeight="1" x14ac:dyDescent="0.25">
      <c r="A22" s="2" t="s">
        <v>81</v>
      </c>
      <c r="B22" s="34">
        <v>45</v>
      </c>
      <c r="C22" s="35" t="s">
        <v>82</v>
      </c>
    </row>
    <row r="23" spans="1:3" ht="18.75" customHeight="1" x14ac:dyDescent="0.25">
      <c r="A23" s="2" t="s">
        <v>83</v>
      </c>
      <c r="B23" s="34">
        <v>30</v>
      </c>
      <c r="C23" s="35" t="s">
        <v>84</v>
      </c>
    </row>
    <row r="24" spans="1:3" ht="18.75" customHeight="1" x14ac:dyDescent="0.25">
      <c r="A24" s="2" t="s">
        <v>85</v>
      </c>
      <c r="B24" s="34">
        <v>40</v>
      </c>
      <c r="C24" s="35" t="s">
        <v>86</v>
      </c>
    </row>
    <row r="25" spans="1:3" ht="18.75" customHeight="1" x14ac:dyDescent="0.25">
      <c r="A25" s="2" t="s">
        <v>87</v>
      </c>
      <c r="B25" s="36">
        <v>0.11</v>
      </c>
      <c r="C25" s="35" t="s">
        <v>88</v>
      </c>
    </row>
    <row r="26" spans="1:3" ht="15" customHeight="1" x14ac:dyDescent="0.25">
      <c r="A26" s="2" t="s">
        <v>89</v>
      </c>
      <c r="B26" s="34">
        <v>25000</v>
      </c>
      <c r="C26" s="35" t="s">
        <v>90</v>
      </c>
    </row>
    <row r="28" spans="1:3" ht="15" customHeight="1" x14ac:dyDescent="0.25">
      <c r="A28" s="41" t="s">
        <v>91</v>
      </c>
      <c r="B28" s="41"/>
      <c r="C28" s="41"/>
    </row>
  </sheetData>
  <mergeCells count="5">
    <mergeCell ref="A1:C1"/>
    <mergeCell ref="A2:C2"/>
    <mergeCell ref="A3:C3"/>
    <mergeCell ref="A17:C17"/>
    <mergeCell ref="A28:C2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7A65"/>
  </sheetPr>
  <dimension ref="A1:N3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2"/>
    </sheetView>
  </sheetViews>
  <sheetFormatPr defaultColWidth="8.7109375" defaultRowHeight="15" x14ac:dyDescent="0.25"/>
  <cols>
    <col min="1" max="1" width="32" style="53" customWidth="1"/>
    <col min="2" max="13" width="10.5703125" style="53" customWidth="1"/>
    <col min="14" max="14" width="12" style="53" customWidth="1"/>
    <col min="15" max="16384" width="8.7109375" style="53"/>
  </cols>
  <sheetData>
    <row r="1" spans="1:14" ht="30" customHeight="1" x14ac:dyDescent="0.25">
      <c r="A1" s="105" t="s">
        <v>92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15" customHeight="1" x14ac:dyDescent="0.25">
      <c r="A2" s="106" t="s">
        <v>93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18" customHeight="1" x14ac:dyDescent="0.25">
      <c r="A3" s="76" t="s">
        <v>94</v>
      </c>
      <c r="B3" s="77" t="s">
        <v>95</v>
      </c>
      <c r="C3" s="77" t="s">
        <v>96</v>
      </c>
      <c r="D3" s="77" t="s">
        <v>97</v>
      </c>
      <c r="E3" s="77" t="s">
        <v>98</v>
      </c>
      <c r="F3" s="77" t="s">
        <v>99</v>
      </c>
      <c r="G3" s="77" t="s">
        <v>100</v>
      </c>
      <c r="H3" s="77" t="s">
        <v>101</v>
      </c>
      <c r="I3" s="77" t="s">
        <v>102</v>
      </c>
      <c r="J3" s="77" t="s">
        <v>103</v>
      </c>
      <c r="K3" s="77" t="s">
        <v>104</v>
      </c>
      <c r="L3" s="77" t="s">
        <v>105</v>
      </c>
      <c r="M3" s="77" t="s">
        <v>106</v>
      </c>
      <c r="N3" s="78" t="s">
        <v>107</v>
      </c>
    </row>
    <row r="4" spans="1:14" ht="15" customHeight="1" x14ac:dyDescent="0.25">
      <c r="A4" s="79" t="s">
        <v>108</v>
      </c>
      <c r="B4" s="80">
        <v>850000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4" ht="15" customHeight="1" x14ac:dyDescent="0.25">
      <c r="A5" s="79" t="s">
        <v>109</v>
      </c>
      <c r="B5" s="82">
        <v>2.5000000000000001E-2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ht="15" customHeight="1" x14ac:dyDescent="0.25">
      <c r="A6" s="83" t="s">
        <v>110</v>
      </c>
      <c r="B6" s="84">
        <f>$B$4</f>
        <v>850000</v>
      </c>
      <c r="C6" s="84">
        <f t="shared" ref="C6:M6" si="0">B6*(1+$B$5)</f>
        <v>871249.99999999988</v>
      </c>
      <c r="D6" s="84">
        <f t="shared" si="0"/>
        <v>893031.24999999977</v>
      </c>
      <c r="E6" s="84">
        <f t="shared" si="0"/>
        <v>915357.03124999965</v>
      </c>
      <c r="F6" s="84">
        <f t="shared" si="0"/>
        <v>938240.95703124953</v>
      </c>
      <c r="G6" s="84">
        <f t="shared" si="0"/>
        <v>961696.98095703067</v>
      </c>
      <c r="H6" s="84">
        <f t="shared" si="0"/>
        <v>985739.40548095631</v>
      </c>
      <c r="I6" s="84">
        <f t="shared" si="0"/>
        <v>1010382.8906179802</v>
      </c>
      <c r="J6" s="84">
        <f t="shared" si="0"/>
        <v>1035642.4628834296</v>
      </c>
      <c r="K6" s="84">
        <f t="shared" si="0"/>
        <v>1061533.5244555152</v>
      </c>
      <c r="L6" s="84">
        <f t="shared" si="0"/>
        <v>1088071.862566903</v>
      </c>
      <c r="M6" s="84">
        <f t="shared" si="0"/>
        <v>1115273.6591310755</v>
      </c>
      <c r="N6" s="85">
        <f>SUM(B6:M6)</f>
        <v>11726220.02437414</v>
      </c>
    </row>
    <row r="7" spans="1:14" ht="15" customHeight="1" x14ac:dyDescent="0.25">
      <c r="A7" s="79" t="s">
        <v>111</v>
      </c>
      <c r="B7" s="86">
        <v>0.55000000000000004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ht="15" customHeight="1" x14ac:dyDescent="0.25">
      <c r="A8" s="87" t="s">
        <v>112</v>
      </c>
      <c r="B8" s="88">
        <f t="shared" ref="B8:M8" si="1">B6*$B$7</f>
        <v>467500.00000000006</v>
      </c>
      <c r="C8" s="88">
        <f t="shared" si="1"/>
        <v>479187.5</v>
      </c>
      <c r="D8" s="88">
        <f t="shared" si="1"/>
        <v>491167.18749999988</v>
      </c>
      <c r="E8" s="88">
        <f t="shared" si="1"/>
        <v>503446.36718749983</v>
      </c>
      <c r="F8" s="88">
        <f t="shared" si="1"/>
        <v>516032.52636718727</v>
      </c>
      <c r="G8" s="88">
        <f t="shared" si="1"/>
        <v>528933.33952636691</v>
      </c>
      <c r="H8" s="88">
        <f t="shared" si="1"/>
        <v>542156.67301452602</v>
      </c>
      <c r="I8" s="88">
        <f t="shared" si="1"/>
        <v>555710.58983988909</v>
      </c>
      <c r="J8" s="88">
        <f t="shared" si="1"/>
        <v>569603.35458588635</v>
      </c>
      <c r="K8" s="88">
        <f t="shared" si="1"/>
        <v>583843.43845053343</v>
      </c>
      <c r="L8" s="88">
        <f t="shared" si="1"/>
        <v>598439.52441179671</v>
      </c>
      <c r="M8" s="88">
        <f t="shared" si="1"/>
        <v>613400.51252209162</v>
      </c>
      <c r="N8" s="89">
        <f>SUM(B8:M8)</f>
        <v>6449421.0134057775</v>
      </c>
    </row>
    <row r="9" spans="1:14" ht="15" customHeight="1" x14ac:dyDescent="0.25">
      <c r="A9" s="90" t="s">
        <v>113</v>
      </c>
      <c r="B9" s="91">
        <f t="shared" ref="B9:M9" si="2">B6-B8</f>
        <v>382499.99999999994</v>
      </c>
      <c r="C9" s="91">
        <f t="shared" si="2"/>
        <v>392062.49999999988</v>
      </c>
      <c r="D9" s="91">
        <f t="shared" si="2"/>
        <v>401864.06249999988</v>
      </c>
      <c r="E9" s="91">
        <f t="shared" si="2"/>
        <v>411910.66406249983</v>
      </c>
      <c r="F9" s="91">
        <f t="shared" si="2"/>
        <v>422208.43066406227</v>
      </c>
      <c r="G9" s="91">
        <f t="shared" si="2"/>
        <v>432763.64143066376</v>
      </c>
      <c r="H9" s="91">
        <f t="shared" si="2"/>
        <v>443582.73246643029</v>
      </c>
      <c r="I9" s="91">
        <f t="shared" si="2"/>
        <v>454672.30077809107</v>
      </c>
      <c r="J9" s="91">
        <f t="shared" si="2"/>
        <v>466039.10829754325</v>
      </c>
      <c r="K9" s="91">
        <f t="shared" si="2"/>
        <v>477690.08600498177</v>
      </c>
      <c r="L9" s="91">
        <f t="shared" si="2"/>
        <v>489632.33815510629</v>
      </c>
      <c r="M9" s="91">
        <f t="shared" si="2"/>
        <v>501873.14660898387</v>
      </c>
      <c r="N9" s="91">
        <f>SUM(B9:M9)</f>
        <v>5276799.010968362</v>
      </c>
    </row>
    <row r="11" spans="1:14" ht="19.5" customHeight="1" x14ac:dyDescent="0.25">
      <c r="A11" s="92" t="s">
        <v>114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</row>
    <row r="12" spans="1:14" ht="15" customHeight="1" x14ac:dyDescent="0.25">
      <c r="A12" s="93" t="s">
        <v>115</v>
      </c>
      <c r="B12" s="94">
        <f>180000*(1+0.01)^0</f>
        <v>180000</v>
      </c>
      <c r="C12" s="94">
        <f>180000*(1+0.01)^1</f>
        <v>181800</v>
      </c>
      <c r="D12" s="94">
        <f>180000*(1+0.01)^2</f>
        <v>183618</v>
      </c>
      <c r="E12" s="94">
        <f>180000*(1+0.01)^3</f>
        <v>185454.18</v>
      </c>
      <c r="F12" s="94">
        <f>180000*(1+0.01)^4</f>
        <v>187308.7218</v>
      </c>
      <c r="G12" s="94">
        <f>180000*(1+0.01)^5</f>
        <v>189181.809018</v>
      </c>
      <c r="H12" s="94">
        <f>180000*(1+0.01)^6</f>
        <v>191073.62710818002</v>
      </c>
      <c r="I12" s="94">
        <f>180000*(1+0.01)^7</f>
        <v>192984.36337926178</v>
      </c>
      <c r="J12" s="94">
        <f>180000*(1+0.01)^8</f>
        <v>194914.20701305443</v>
      </c>
      <c r="K12" s="94">
        <f>180000*(1+0.01)^9</f>
        <v>196863.34908318499</v>
      </c>
      <c r="L12" s="94">
        <f>180000*(1+0.01)^10</f>
        <v>198831.98257401685</v>
      </c>
      <c r="M12" s="94">
        <f>180000*(1+0.01)^11</f>
        <v>200820.30239975697</v>
      </c>
      <c r="N12" s="95">
        <f>SUM(B12:M12)</f>
        <v>2282850.5423754547</v>
      </c>
    </row>
    <row r="13" spans="1:14" ht="15" customHeight="1" x14ac:dyDescent="0.25">
      <c r="A13" s="93" t="s">
        <v>116</v>
      </c>
      <c r="B13" s="94">
        <f>45000*(1+0)^0</f>
        <v>45000</v>
      </c>
      <c r="C13" s="94">
        <f>45000*(1+0)^1</f>
        <v>45000</v>
      </c>
      <c r="D13" s="94">
        <f>45000*(1+0)^2</f>
        <v>45000</v>
      </c>
      <c r="E13" s="94">
        <f>45000*(1+0)^3</f>
        <v>45000</v>
      </c>
      <c r="F13" s="94">
        <f>45000*(1+0)^4</f>
        <v>45000</v>
      </c>
      <c r="G13" s="94">
        <f>45000*(1+0)^5</f>
        <v>45000</v>
      </c>
      <c r="H13" s="94">
        <f>45000*(1+0)^6</f>
        <v>45000</v>
      </c>
      <c r="I13" s="94">
        <f>45000*(1+0)^7</f>
        <v>45000</v>
      </c>
      <c r="J13" s="94">
        <f>45000*(1+0)^8</f>
        <v>45000</v>
      </c>
      <c r="K13" s="94">
        <f>45000*(1+0)^9</f>
        <v>45000</v>
      </c>
      <c r="L13" s="94">
        <f>45000*(1+0)^10</f>
        <v>45000</v>
      </c>
      <c r="M13" s="94">
        <f>45000*(1+0)^11</f>
        <v>45000</v>
      </c>
      <c r="N13" s="95">
        <f>SUM(B13:M13)</f>
        <v>540000</v>
      </c>
    </row>
    <row r="14" spans="1:14" ht="15" customHeight="1" x14ac:dyDescent="0.25">
      <c r="A14" s="93" t="s">
        <v>117</v>
      </c>
      <c r="B14" s="94">
        <f>22000*(1+0.02)^0</f>
        <v>22000</v>
      </c>
      <c r="C14" s="94">
        <f>22000*(1+0.02)^1</f>
        <v>22440</v>
      </c>
      <c r="D14" s="94">
        <f>22000*(1+0.02)^2</f>
        <v>22888.799999999999</v>
      </c>
      <c r="E14" s="94">
        <f>22000*(1+0.02)^3</f>
        <v>23346.575999999997</v>
      </c>
      <c r="F14" s="94">
        <f>22000*(1+0.02)^4</f>
        <v>23813.507519999999</v>
      </c>
      <c r="G14" s="94">
        <f>22000*(1+0.02)^5</f>
        <v>24289.777670399999</v>
      </c>
      <c r="H14" s="94">
        <f>22000*(1+0.02)^6</f>
        <v>24775.573223808002</v>
      </c>
      <c r="I14" s="94">
        <f>22000*(1+0.02)^7</f>
        <v>25271.084688284154</v>
      </c>
      <c r="J14" s="94">
        <f>22000*(1+0.02)^8</f>
        <v>25776.50638204984</v>
      </c>
      <c r="K14" s="94">
        <f>22000*(1+0.02)^9</f>
        <v>26292.036509690839</v>
      </c>
      <c r="L14" s="94">
        <f>22000*(1+0.02)^10</f>
        <v>26817.877239884656</v>
      </c>
      <c r="M14" s="94">
        <f>22000*(1+0.02)^11</f>
        <v>27354.234784682343</v>
      </c>
      <c r="N14" s="95">
        <f>SUM(B14:M14)</f>
        <v>295065.97401879984</v>
      </c>
    </row>
    <row r="15" spans="1:14" ht="15" customHeight="1" x14ac:dyDescent="0.25">
      <c r="A15" s="93" t="s">
        <v>118</v>
      </c>
      <c r="B15" s="94">
        <f>35000*(1+0.03)^0</f>
        <v>35000</v>
      </c>
      <c r="C15" s="94">
        <f>35000*(1+0.03)^1</f>
        <v>36050</v>
      </c>
      <c r="D15" s="94">
        <f>35000*(1+0.03)^2</f>
        <v>37131.5</v>
      </c>
      <c r="E15" s="94">
        <f>35000*(1+0.03)^3</f>
        <v>38245.445</v>
      </c>
      <c r="F15" s="94">
        <f>35000*(1+0.03)^4</f>
        <v>39392.808349999999</v>
      </c>
      <c r="G15" s="94">
        <f>35000*(1+0.03)^5</f>
        <v>40574.592600499993</v>
      </c>
      <c r="H15" s="94">
        <f>35000*(1+0.03)^6</f>
        <v>41791.830378514998</v>
      </c>
      <c r="I15" s="94">
        <f>35000*(1+0.03)^7</f>
        <v>43045.585289870447</v>
      </c>
      <c r="J15" s="94">
        <f>35000*(1+0.03)^8</f>
        <v>44336.952848566558</v>
      </c>
      <c r="K15" s="94">
        <f>35000*(1+0.03)^9</f>
        <v>45667.061434023555</v>
      </c>
      <c r="L15" s="94">
        <f>35000*(1+0.03)^10</f>
        <v>47037.073277044263</v>
      </c>
      <c r="M15" s="94">
        <f>35000*(1+0.03)^11</f>
        <v>48448.185475355589</v>
      </c>
      <c r="N15" s="95">
        <f>SUM(B15:M15)</f>
        <v>496721.03465387545</v>
      </c>
    </row>
    <row r="16" spans="1:14" ht="15" customHeight="1" x14ac:dyDescent="0.25">
      <c r="A16" s="93" t="s">
        <v>119</v>
      </c>
      <c r="B16" s="94">
        <f>15000*(1+0.01)^0</f>
        <v>15000</v>
      </c>
      <c r="C16" s="94">
        <f>15000*(1+0.01)^1</f>
        <v>15150</v>
      </c>
      <c r="D16" s="94">
        <f>15000*(1+0.01)^2</f>
        <v>15301.5</v>
      </c>
      <c r="E16" s="94">
        <f>15000*(1+0.01)^3</f>
        <v>15454.514999999999</v>
      </c>
      <c r="F16" s="94">
        <f>15000*(1+0.01)^4</f>
        <v>15609.060150000001</v>
      </c>
      <c r="G16" s="94">
        <f>15000*(1+0.01)^5</f>
        <v>15765.150751499999</v>
      </c>
      <c r="H16" s="94">
        <f>15000*(1+0.01)^6</f>
        <v>15922.802259015001</v>
      </c>
      <c r="I16" s="94">
        <f>15000*(1+0.01)^7</f>
        <v>16082.030281605148</v>
      </c>
      <c r="J16" s="94">
        <f>15000*(1+0.01)^8</f>
        <v>16242.850584421203</v>
      </c>
      <c r="K16" s="94">
        <f>15000*(1+0.01)^9</f>
        <v>16405.279090265416</v>
      </c>
      <c r="L16" s="94">
        <f>15000*(1+0.01)^10</f>
        <v>16569.331881168073</v>
      </c>
      <c r="M16" s="94">
        <f>15000*(1+0.01)^11</f>
        <v>16735.025199979747</v>
      </c>
      <c r="N16" s="95">
        <f>SUM(B16:M16)</f>
        <v>190237.54519795458</v>
      </c>
    </row>
    <row r="17" spans="1:14" ht="15" customHeight="1" x14ac:dyDescent="0.25">
      <c r="A17" s="96" t="s">
        <v>120</v>
      </c>
      <c r="B17" s="97">
        <f t="shared" ref="B17:N17" si="3">B12+B13+B14+B15+B16</f>
        <v>297000</v>
      </c>
      <c r="C17" s="97">
        <f t="shared" si="3"/>
        <v>300440</v>
      </c>
      <c r="D17" s="97">
        <f t="shared" si="3"/>
        <v>303939.8</v>
      </c>
      <c r="E17" s="97">
        <f t="shared" si="3"/>
        <v>307500.71600000001</v>
      </c>
      <c r="F17" s="97">
        <f t="shared" si="3"/>
        <v>311124.09781999997</v>
      </c>
      <c r="G17" s="97">
        <f t="shared" si="3"/>
        <v>314811.33004039997</v>
      </c>
      <c r="H17" s="97">
        <f t="shared" si="3"/>
        <v>318563.83296951797</v>
      </c>
      <c r="I17" s="97">
        <f t="shared" si="3"/>
        <v>322383.06363902154</v>
      </c>
      <c r="J17" s="97">
        <f t="shared" si="3"/>
        <v>326270.51682809205</v>
      </c>
      <c r="K17" s="97">
        <f t="shared" si="3"/>
        <v>330227.72611716477</v>
      </c>
      <c r="L17" s="97">
        <f t="shared" si="3"/>
        <v>334256.26497211383</v>
      </c>
      <c r="M17" s="97">
        <f t="shared" si="3"/>
        <v>338357.74785977462</v>
      </c>
      <c r="N17" s="97">
        <f t="shared" si="3"/>
        <v>3804875.0962460847</v>
      </c>
    </row>
    <row r="19" spans="1:14" ht="15" customHeight="1" x14ac:dyDescent="0.25">
      <c r="A19" s="98" t="s">
        <v>121</v>
      </c>
      <c r="B19" s="99">
        <f t="shared" ref="B19:N19" si="4">B9-B17</f>
        <v>85499.999999999942</v>
      </c>
      <c r="C19" s="99">
        <f t="shared" si="4"/>
        <v>91622.499999999884</v>
      </c>
      <c r="D19" s="99">
        <f t="shared" si="4"/>
        <v>97924.262499999895</v>
      </c>
      <c r="E19" s="99">
        <f t="shared" si="4"/>
        <v>104409.94806249981</v>
      </c>
      <c r="F19" s="99">
        <f t="shared" si="4"/>
        <v>111084.3328440623</v>
      </c>
      <c r="G19" s="99">
        <f t="shared" si="4"/>
        <v>117952.31139026379</v>
      </c>
      <c r="H19" s="99">
        <f t="shared" si="4"/>
        <v>125018.89949691232</v>
      </c>
      <c r="I19" s="99">
        <f t="shared" si="4"/>
        <v>132289.23713906953</v>
      </c>
      <c r="J19" s="99">
        <f t="shared" si="4"/>
        <v>139768.5914694512</v>
      </c>
      <c r="K19" s="99">
        <f t="shared" si="4"/>
        <v>147462.359887817</v>
      </c>
      <c r="L19" s="99">
        <f t="shared" si="4"/>
        <v>155376.07318299246</v>
      </c>
      <c r="M19" s="99">
        <f t="shared" si="4"/>
        <v>163515.39874920924</v>
      </c>
      <c r="N19" s="99">
        <f t="shared" si="4"/>
        <v>1471923.9147222773</v>
      </c>
    </row>
    <row r="20" spans="1:14" ht="15" customHeight="1" x14ac:dyDescent="0.25">
      <c r="A20" s="100" t="s">
        <v>122</v>
      </c>
      <c r="B20" s="101">
        <f t="shared" ref="B20:N20" si="5">IFERROR(B19/B6,0)</f>
        <v>0.10058823529411758</v>
      </c>
      <c r="C20" s="101">
        <f t="shared" si="5"/>
        <v>0.10516212338593962</v>
      </c>
      <c r="D20" s="101">
        <f t="shared" si="5"/>
        <v>0.10965379151065534</v>
      </c>
      <c r="E20" s="101">
        <f t="shared" si="5"/>
        <v>0.11406472501764578</v>
      </c>
      <c r="F20" s="101">
        <f t="shared" si="5"/>
        <v>0.11839637996144574</v>
      </c>
      <c r="G20" s="101">
        <f t="shared" si="5"/>
        <v>0.12265018371263244</v>
      </c>
      <c r="H20" s="101">
        <f t="shared" si="5"/>
        <v>0.12682753555531628</v>
      </c>
      <c r="I20" s="101">
        <f t="shared" si="5"/>
        <v>0.13092980727153594</v>
      </c>
      <c r="J20" s="101">
        <f t="shared" si="5"/>
        <v>0.13495834371285659</v>
      </c>
      <c r="K20" s="101">
        <f t="shared" si="5"/>
        <v>0.13891446335946273</v>
      </c>
      <c r="L20" s="101">
        <f t="shared" si="5"/>
        <v>0.1427994588670275</v>
      </c>
      <c r="M20" s="101">
        <f t="shared" si="5"/>
        <v>0.1466145976016382</v>
      </c>
      <c r="N20" s="101">
        <f t="shared" si="5"/>
        <v>0.12552415967487679</v>
      </c>
    </row>
    <row r="22" spans="1:14" ht="15" customHeight="1" x14ac:dyDescent="0.25">
      <c r="A22" s="79" t="s">
        <v>123</v>
      </c>
      <c r="B22" s="102">
        <f>'⚙ SETUP'!$B$5*'⚙ SETUP'!$B$20</f>
        <v>19920</v>
      </c>
      <c r="C22" s="102">
        <f>'⚙ SETUP'!$B$5*'⚙ SETUP'!$B$20</f>
        <v>19920</v>
      </c>
      <c r="D22" s="102">
        <f>'⚙ SETUP'!$B$5*'⚙ SETUP'!$B$20</f>
        <v>19920</v>
      </c>
      <c r="E22" s="102">
        <f>'⚙ SETUP'!$B$5*'⚙ SETUP'!$B$20</f>
        <v>19920</v>
      </c>
      <c r="F22" s="102">
        <f>'⚙ SETUP'!$B$5*'⚙ SETUP'!$B$20</f>
        <v>19920</v>
      </c>
      <c r="G22" s="102">
        <f>'⚙ SETUP'!$B$5*'⚙ SETUP'!$B$20</f>
        <v>19920</v>
      </c>
      <c r="H22" s="102">
        <f>'⚙ SETUP'!$B$5*'⚙ SETUP'!$B$20</f>
        <v>19920</v>
      </c>
      <c r="I22" s="102">
        <f>'⚙ SETUP'!$B$5*'⚙ SETUP'!$B$20</f>
        <v>19920</v>
      </c>
      <c r="J22" s="102">
        <f>'⚙ SETUP'!$B$5*'⚙ SETUP'!$B$20</f>
        <v>19920</v>
      </c>
      <c r="K22" s="102">
        <f>'⚙ SETUP'!$B$5*'⚙ SETUP'!$B$20</f>
        <v>19920</v>
      </c>
      <c r="L22" s="102">
        <f>'⚙ SETUP'!$B$5*'⚙ SETUP'!$B$20</f>
        <v>19920</v>
      </c>
      <c r="M22" s="102">
        <f>'⚙ SETUP'!$B$5*'⚙ SETUP'!$B$20</f>
        <v>19920</v>
      </c>
      <c r="N22" s="102">
        <f>SUM(B22:M22)</f>
        <v>239040</v>
      </c>
    </row>
    <row r="23" spans="1:14" ht="15" customHeight="1" x14ac:dyDescent="0.25">
      <c r="A23" s="103" t="s">
        <v>124</v>
      </c>
      <c r="B23" s="95">
        <f t="shared" ref="B23:N23" si="6">B19-B22</f>
        <v>65579.999999999942</v>
      </c>
      <c r="C23" s="95">
        <f t="shared" si="6"/>
        <v>71702.499999999884</v>
      </c>
      <c r="D23" s="95">
        <f t="shared" si="6"/>
        <v>78004.262499999895</v>
      </c>
      <c r="E23" s="95">
        <f t="shared" si="6"/>
        <v>84489.94806249981</v>
      </c>
      <c r="F23" s="95">
        <f t="shared" si="6"/>
        <v>91164.332844062301</v>
      </c>
      <c r="G23" s="95">
        <f t="shared" si="6"/>
        <v>98032.311390263785</v>
      </c>
      <c r="H23" s="95">
        <f t="shared" si="6"/>
        <v>105098.89949691232</v>
      </c>
      <c r="I23" s="95">
        <f t="shared" si="6"/>
        <v>112369.23713906953</v>
      </c>
      <c r="J23" s="95">
        <f t="shared" si="6"/>
        <v>119848.5914694512</v>
      </c>
      <c r="K23" s="95">
        <f t="shared" si="6"/>
        <v>127542.359887817</v>
      </c>
      <c r="L23" s="95">
        <f t="shared" si="6"/>
        <v>135456.07318299246</v>
      </c>
      <c r="M23" s="95">
        <f t="shared" si="6"/>
        <v>143595.39874920924</v>
      </c>
      <c r="N23" s="95">
        <f t="shared" si="6"/>
        <v>1232883.9147222773</v>
      </c>
    </row>
    <row r="24" spans="1:14" ht="15" customHeight="1" x14ac:dyDescent="0.25">
      <c r="A24" s="87" t="s">
        <v>125</v>
      </c>
      <c r="B24" s="88">
        <f>MAX(0,('⚙ SETUP'!$B$13-0*'⚙ SETUP'!$B$26))*('⚙ SETUP'!$B$25/12)</f>
        <v>8250</v>
      </c>
      <c r="C24" s="88">
        <f>MAX(0,('⚙ SETUP'!$B$13-1*'⚙ SETUP'!$B$26))*('⚙ SETUP'!$B$25/12)</f>
        <v>8020.833333333333</v>
      </c>
      <c r="D24" s="88">
        <f>MAX(0,('⚙ SETUP'!$B$13-2*'⚙ SETUP'!$B$26))*('⚙ SETUP'!$B$25/12)</f>
        <v>7791.666666666667</v>
      </c>
      <c r="E24" s="88">
        <f>MAX(0,('⚙ SETUP'!$B$13-3*'⚙ SETUP'!$B$26))*('⚙ SETUP'!$B$25/12)</f>
        <v>7562.5</v>
      </c>
      <c r="F24" s="88">
        <f>MAX(0,('⚙ SETUP'!$B$13-4*'⚙ SETUP'!$B$26))*('⚙ SETUP'!$B$25/12)</f>
        <v>7333.333333333333</v>
      </c>
      <c r="G24" s="88">
        <f>MAX(0,('⚙ SETUP'!$B$13-5*'⚙ SETUP'!$B$26))*('⚙ SETUP'!$B$25/12)</f>
        <v>7104.166666666667</v>
      </c>
      <c r="H24" s="88">
        <f>MAX(0,('⚙ SETUP'!$B$13-6*'⚙ SETUP'!$B$26))*('⚙ SETUP'!$B$25/12)</f>
        <v>6875</v>
      </c>
      <c r="I24" s="88">
        <f>MAX(0,('⚙ SETUP'!$B$13-7*'⚙ SETUP'!$B$26))*('⚙ SETUP'!$B$25/12)</f>
        <v>6645.833333333333</v>
      </c>
      <c r="J24" s="88">
        <f>MAX(0,('⚙ SETUP'!$B$13-8*'⚙ SETUP'!$B$26))*('⚙ SETUP'!$B$25/12)</f>
        <v>6416.666666666667</v>
      </c>
      <c r="K24" s="88">
        <f>MAX(0,('⚙ SETUP'!$B$13-9*'⚙ SETUP'!$B$26))*('⚙ SETUP'!$B$25/12)</f>
        <v>6187.5</v>
      </c>
      <c r="L24" s="88">
        <f>MAX(0,('⚙ SETUP'!$B$13-10*'⚙ SETUP'!$B$26))*('⚙ SETUP'!$B$25/12)</f>
        <v>5958.333333333333</v>
      </c>
      <c r="M24" s="88">
        <f>MAX(0,('⚙ SETUP'!$B$13-11*'⚙ SETUP'!$B$26))*('⚙ SETUP'!$B$25/12)</f>
        <v>5729.166666666667</v>
      </c>
      <c r="N24" s="89">
        <f>SUM(B24:M24)</f>
        <v>83875</v>
      </c>
    </row>
    <row r="25" spans="1:14" ht="15" customHeight="1" x14ac:dyDescent="0.25">
      <c r="A25" s="103" t="s">
        <v>126</v>
      </c>
      <c r="B25" s="95">
        <f t="shared" ref="B25:N25" si="7">B23-B24</f>
        <v>57329.999999999942</v>
      </c>
      <c r="C25" s="95">
        <f t="shared" si="7"/>
        <v>63681.666666666548</v>
      </c>
      <c r="D25" s="95">
        <f t="shared" si="7"/>
        <v>70212.595833333224</v>
      </c>
      <c r="E25" s="95">
        <f t="shared" si="7"/>
        <v>76927.44806249981</v>
      </c>
      <c r="F25" s="95">
        <f t="shared" si="7"/>
        <v>83830.999510728972</v>
      </c>
      <c r="G25" s="95">
        <f t="shared" si="7"/>
        <v>90928.144723597114</v>
      </c>
      <c r="H25" s="95">
        <f t="shared" si="7"/>
        <v>98223.899496912316</v>
      </c>
      <c r="I25" s="95">
        <f t="shared" si="7"/>
        <v>105723.4038057362</v>
      </c>
      <c r="J25" s="95">
        <f t="shared" si="7"/>
        <v>113431.92480278453</v>
      </c>
      <c r="K25" s="95">
        <f t="shared" si="7"/>
        <v>121354.859887817</v>
      </c>
      <c r="L25" s="95">
        <f t="shared" si="7"/>
        <v>129497.73984965913</v>
      </c>
      <c r="M25" s="95">
        <f t="shared" si="7"/>
        <v>137866.23208254258</v>
      </c>
      <c r="N25" s="95">
        <f t="shared" si="7"/>
        <v>1149008.9147222773</v>
      </c>
    </row>
    <row r="26" spans="1:14" ht="15" customHeight="1" x14ac:dyDescent="0.25">
      <c r="A26" s="87" t="s">
        <v>127</v>
      </c>
      <c r="B26" s="88">
        <f>MAX(0,B25)*'⚙ SETUP'!$B$19</f>
        <v>14429.960999999985</v>
      </c>
      <c r="C26" s="88">
        <f>MAX(0,C25)*'⚙ SETUP'!$B$19</f>
        <v>16028.675499999968</v>
      </c>
      <c r="D26" s="88">
        <f>MAX(0,D25)*'⚙ SETUP'!$B$19</f>
        <v>17672.510371249969</v>
      </c>
      <c r="E26" s="88">
        <f>MAX(0,E25)*'⚙ SETUP'!$B$19</f>
        <v>19362.638677331201</v>
      </c>
      <c r="F26" s="88">
        <f>MAX(0,F25)*'⚙ SETUP'!$B$19</f>
        <v>21100.26257685048</v>
      </c>
      <c r="G26" s="88">
        <f>MAX(0,G25)*'⚙ SETUP'!$B$19</f>
        <v>22886.61402692939</v>
      </c>
      <c r="H26" s="88">
        <f>MAX(0,H25)*'⚙ SETUP'!$B$19</f>
        <v>24722.955503372828</v>
      </c>
      <c r="I26" s="88">
        <f>MAX(0,I25)*'⚙ SETUP'!$B$19</f>
        <v>26610.580737903801</v>
      </c>
      <c r="J26" s="88">
        <f>MAX(0,J25)*'⚙ SETUP'!$B$19</f>
        <v>28550.815472860864</v>
      </c>
      <c r="K26" s="88">
        <f>MAX(0,K25)*'⚙ SETUP'!$B$19</f>
        <v>30545.018233763538</v>
      </c>
      <c r="L26" s="88">
        <f>MAX(0,L25)*'⚙ SETUP'!$B$19</f>
        <v>32594.581120159201</v>
      </c>
      <c r="M26" s="88">
        <f>MAX(0,M25)*'⚙ SETUP'!$B$19</f>
        <v>34700.930615175967</v>
      </c>
      <c r="N26" s="88">
        <f>MAX(0,N25)*'⚙ SETUP'!$B$19</f>
        <v>289205.54383559717</v>
      </c>
    </row>
    <row r="27" spans="1:14" ht="15" customHeight="1" x14ac:dyDescent="0.25">
      <c r="A27" s="98" t="s">
        <v>128</v>
      </c>
      <c r="B27" s="99">
        <f t="shared" ref="B27:N27" si="8">B25-B26</f>
        <v>42900.038999999961</v>
      </c>
      <c r="C27" s="99">
        <f t="shared" si="8"/>
        <v>47652.991166666579</v>
      </c>
      <c r="D27" s="99">
        <f t="shared" si="8"/>
        <v>52540.085462083254</v>
      </c>
      <c r="E27" s="99">
        <f t="shared" si="8"/>
        <v>57564.809385168614</v>
      </c>
      <c r="F27" s="99">
        <f t="shared" si="8"/>
        <v>62730.736933878492</v>
      </c>
      <c r="G27" s="99">
        <f t="shared" si="8"/>
        <v>68041.530696667731</v>
      </c>
      <c r="H27" s="99">
        <f t="shared" si="8"/>
        <v>73500.943993539491</v>
      </c>
      <c r="I27" s="99">
        <f t="shared" si="8"/>
        <v>79112.823067832403</v>
      </c>
      <c r="J27" s="99">
        <f t="shared" si="8"/>
        <v>84881.109329923667</v>
      </c>
      <c r="K27" s="99">
        <f t="shared" si="8"/>
        <v>90809.841654053467</v>
      </c>
      <c r="L27" s="99">
        <f t="shared" si="8"/>
        <v>96903.158729499934</v>
      </c>
      <c r="M27" s="99">
        <f t="shared" si="8"/>
        <v>103165.30146736662</v>
      </c>
      <c r="N27" s="99">
        <f t="shared" si="8"/>
        <v>859803.3708866802</v>
      </c>
    </row>
    <row r="28" spans="1:14" ht="15" customHeight="1" x14ac:dyDescent="0.25">
      <c r="A28" s="100" t="s">
        <v>129</v>
      </c>
      <c r="B28" s="101">
        <f t="shared" ref="B28:N28" si="9">IFERROR(B27/B6,0)</f>
        <v>5.0470634117647011E-2</v>
      </c>
      <c r="C28" s="101">
        <f t="shared" si="9"/>
        <v>5.4694968340506842E-2</v>
      </c>
      <c r="D28" s="101">
        <f t="shared" si="9"/>
        <v>5.8833423200009255E-2</v>
      </c>
      <c r="E28" s="101">
        <f t="shared" si="9"/>
        <v>6.2887821276206138E-2</v>
      </c>
      <c r="F28" s="101">
        <f t="shared" si="9"/>
        <v>6.6859943028248284E-2</v>
      </c>
      <c r="G28" s="101">
        <f t="shared" si="9"/>
        <v>7.0751527813840434E-2</v>
      </c>
      <c r="H28" s="101">
        <f t="shared" si="9"/>
        <v>7.4564274883256121E-2</v>
      </c>
      <c r="I28" s="101">
        <f t="shared" si="9"/>
        <v>7.8299844348556469E-2</v>
      </c>
      <c r="J28" s="101">
        <f t="shared" si="9"/>
        <v>8.1959858128642371E-2</v>
      </c>
      <c r="K28" s="101">
        <f t="shared" si="9"/>
        <v>8.5545900870753852E-2</v>
      </c>
      <c r="L28" s="101">
        <f t="shared" si="9"/>
        <v>8.9059520849011559E-2</v>
      </c>
      <c r="M28" s="101">
        <f t="shared" si="9"/>
        <v>9.2502230840584967E-2</v>
      </c>
      <c r="N28" s="101">
        <f t="shared" si="9"/>
        <v>7.3323148388780998E-2</v>
      </c>
    </row>
    <row r="30" spans="1:14" ht="15" customHeight="1" x14ac:dyDescent="0.25">
      <c r="A30" s="104" t="s">
        <v>130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</sheetData>
  <sheetProtection algorithmName="SHA-512" hashValue="/FU+FKgWgc6+8DxqZEkK89NJI8ucO37svhqzBSQCnv+d1feuATTLrOwf5EOAQDmXaN6Z6qK8fxuMCVOuHlpYnA==" saltValue="pMVOqVjrKGethdqhGqj9TQ==" spinCount="100000" sheet="1" objects="1" scenarios="1"/>
  <mergeCells count="4">
    <mergeCell ref="A1:N1"/>
    <mergeCell ref="A2:N2"/>
    <mergeCell ref="A11:N11"/>
    <mergeCell ref="A30:N30"/>
  </mergeCells>
  <pageMargins left="0.75" right="0.75" top="1" bottom="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C3483"/>
  </sheetPr>
  <dimension ref="A1:N3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8.7109375" defaultRowHeight="30.75" customHeight="1" x14ac:dyDescent="0.25"/>
  <cols>
    <col min="1" max="1" width="32" style="53" customWidth="1"/>
    <col min="2" max="13" width="10.5703125" style="53" customWidth="1"/>
    <col min="14" max="14" width="12" style="53" customWidth="1"/>
    <col min="15" max="16384" width="8.7109375" style="53"/>
  </cols>
  <sheetData>
    <row r="1" spans="1:14" ht="30.75" customHeight="1" x14ac:dyDescent="0.25">
      <c r="A1" s="105" t="s">
        <v>131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30.75" customHeight="1" x14ac:dyDescent="0.25">
      <c r="A2" s="106" t="s">
        <v>132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30.75" customHeight="1" x14ac:dyDescent="0.25">
      <c r="A3" s="76" t="s">
        <v>94</v>
      </c>
      <c r="B3" s="77" t="s">
        <v>95</v>
      </c>
      <c r="C3" s="77" t="s">
        <v>96</v>
      </c>
      <c r="D3" s="77" t="s">
        <v>97</v>
      </c>
      <c r="E3" s="77" t="s">
        <v>98</v>
      </c>
      <c r="F3" s="77" t="s">
        <v>99</v>
      </c>
      <c r="G3" s="77" t="s">
        <v>100</v>
      </c>
      <c r="H3" s="77" t="s">
        <v>101</v>
      </c>
      <c r="I3" s="77" t="s">
        <v>102</v>
      </c>
      <c r="J3" s="77" t="s">
        <v>103</v>
      </c>
      <c r="K3" s="77" t="s">
        <v>104</v>
      </c>
      <c r="L3" s="77" t="s">
        <v>105</v>
      </c>
      <c r="M3" s="77" t="s">
        <v>106</v>
      </c>
      <c r="N3" s="78" t="s">
        <v>133</v>
      </c>
    </row>
    <row r="4" spans="1:14" ht="30.75" customHeight="1" x14ac:dyDescent="0.25">
      <c r="A4" s="107" t="s">
        <v>134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30.75" customHeight="1" x14ac:dyDescent="0.25">
      <c r="A5" s="108" t="s">
        <v>135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4" ht="30.75" customHeight="1" x14ac:dyDescent="0.25">
      <c r="A6" s="93" t="s">
        <v>136</v>
      </c>
      <c r="B6" s="109">
        <f>'⚙ SETUP'!$B$5</f>
        <v>2400000</v>
      </c>
      <c r="C6" s="109">
        <f>'⚙ SETUP'!$B$5</f>
        <v>2400000</v>
      </c>
      <c r="D6" s="109">
        <f>'⚙ SETUP'!$B$5</f>
        <v>2400000</v>
      </c>
      <c r="E6" s="109">
        <f>'⚙ SETUP'!$B$5</f>
        <v>2400000</v>
      </c>
      <c r="F6" s="109">
        <f>'⚙ SETUP'!$B$5</f>
        <v>2400000</v>
      </c>
      <c r="G6" s="109">
        <f>'⚙ SETUP'!$B$5</f>
        <v>2400000</v>
      </c>
      <c r="H6" s="109">
        <f>'⚙ SETUP'!$B$5</f>
        <v>2400000</v>
      </c>
      <c r="I6" s="109">
        <f>'⚙ SETUP'!$B$5</f>
        <v>2400000</v>
      </c>
      <c r="J6" s="109">
        <f>'⚙ SETUP'!$B$5</f>
        <v>2400000</v>
      </c>
      <c r="K6" s="109">
        <f>'⚙ SETUP'!$B$5</f>
        <v>2400000</v>
      </c>
      <c r="L6" s="109">
        <f>'⚙ SETUP'!$B$5</f>
        <v>2400000</v>
      </c>
      <c r="M6" s="109">
        <f>'⚙ SETUP'!$B$5</f>
        <v>2400000</v>
      </c>
      <c r="N6" s="110">
        <f>M6</f>
        <v>2400000</v>
      </c>
    </row>
    <row r="7" spans="1:14" ht="30.75" customHeight="1" x14ac:dyDescent="0.25">
      <c r="A7" s="87" t="s">
        <v>137</v>
      </c>
      <c r="B7" s="88">
        <f>'⚙ SETUP'!$B$6+'📈 P&amp;L'!B22</f>
        <v>619920</v>
      </c>
      <c r="C7" s="88">
        <f>B7+'📈 P&amp;L'!C22</f>
        <v>639840</v>
      </c>
      <c r="D7" s="88">
        <f>C7+'📈 P&amp;L'!D22</f>
        <v>659760</v>
      </c>
      <c r="E7" s="88">
        <f>D7+'📈 P&amp;L'!E22</f>
        <v>679680</v>
      </c>
      <c r="F7" s="88">
        <f>E7+'📈 P&amp;L'!F22</f>
        <v>699600</v>
      </c>
      <c r="G7" s="88">
        <f>F7+'📈 P&amp;L'!G22</f>
        <v>719520</v>
      </c>
      <c r="H7" s="88">
        <f>G7+'📈 P&amp;L'!H22</f>
        <v>739440</v>
      </c>
      <c r="I7" s="88">
        <f>H7+'📈 P&amp;L'!I22</f>
        <v>759360</v>
      </c>
      <c r="J7" s="88">
        <f>I7+'📈 P&amp;L'!J22</f>
        <v>779280</v>
      </c>
      <c r="K7" s="88">
        <f>J7+'📈 P&amp;L'!K22</f>
        <v>799200</v>
      </c>
      <c r="L7" s="88">
        <f>K7+'📈 P&amp;L'!L22</f>
        <v>819120</v>
      </c>
      <c r="M7" s="88">
        <f>L7+'📈 P&amp;L'!M22</f>
        <v>839040</v>
      </c>
      <c r="N7" s="110">
        <f>M7</f>
        <v>839040</v>
      </c>
    </row>
    <row r="8" spans="1:14" ht="30.75" customHeight="1" x14ac:dyDescent="0.25">
      <c r="A8" s="90" t="s">
        <v>138</v>
      </c>
      <c r="B8" s="91">
        <f t="shared" ref="B8:M8" si="0">B6-B7</f>
        <v>1780080</v>
      </c>
      <c r="C8" s="91">
        <f t="shared" si="0"/>
        <v>1760160</v>
      </c>
      <c r="D8" s="91">
        <f t="shared" si="0"/>
        <v>1740240</v>
      </c>
      <c r="E8" s="91">
        <f t="shared" si="0"/>
        <v>1720320</v>
      </c>
      <c r="F8" s="91">
        <f t="shared" si="0"/>
        <v>1700400</v>
      </c>
      <c r="G8" s="91">
        <f t="shared" si="0"/>
        <v>1680480</v>
      </c>
      <c r="H8" s="91">
        <f t="shared" si="0"/>
        <v>1660560</v>
      </c>
      <c r="I8" s="91">
        <f t="shared" si="0"/>
        <v>1640640</v>
      </c>
      <c r="J8" s="91">
        <f t="shared" si="0"/>
        <v>1620720</v>
      </c>
      <c r="K8" s="91">
        <f t="shared" si="0"/>
        <v>1600800</v>
      </c>
      <c r="L8" s="91">
        <f t="shared" si="0"/>
        <v>1580880</v>
      </c>
      <c r="M8" s="91">
        <f t="shared" si="0"/>
        <v>1560960</v>
      </c>
      <c r="N8" s="110">
        <f>M8</f>
        <v>1560960</v>
      </c>
    </row>
    <row r="9" spans="1:14" ht="30.75" customHeight="1" x14ac:dyDescent="0.25">
      <c r="A9" s="111" t="s">
        <v>139</v>
      </c>
      <c r="B9" s="112">
        <f t="shared" ref="B9:M9" si="1">B8</f>
        <v>1780080</v>
      </c>
      <c r="C9" s="112">
        <f t="shared" si="1"/>
        <v>1760160</v>
      </c>
      <c r="D9" s="112">
        <f t="shared" si="1"/>
        <v>1740240</v>
      </c>
      <c r="E9" s="112">
        <f t="shared" si="1"/>
        <v>1720320</v>
      </c>
      <c r="F9" s="112">
        <f t="shared" si="1"/>
        <v>1700400</v>
      </c>
      <c r="G9" s="112">
        <f t="shared" si="1"/>
        <v>1680480</v>
      </c>
      <c r="H9" s="112">
        <f t="shared" si="1"/>
        <v>1660560</v>
      </c>
      <c r="I9" s="112">
        <f t="shared" si="1"/>
        <v>1640640</v>
      </c>
      <c r="J9" s="112">
        <f t="shared" si="1"/>
        <v>1620720</v>
      </c>
      <c r="K9" s="112">
        <f t="shared" si="1"/>
        <v>1600800</v>
      </c>
      <c r="L9" s="112">
        <f t="shared" si="1"/>
        <v>1580880</v>
      </c>
      <c r="M9" s="112">
        <f t="shared" si="1"/>
        <v>1560960</v>
      </c>
      <c r="N9" s="110">
        <f>M9</f>
        <v>1560960</v>
      </c>
    </row>
    <row r="11" spans="1:14" ht="30.75" customHeight="1" x14ac:dyDescent="0.25">
      <c r="A11" s="108" t="s">
        <v>140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4" ht="30.75" customHeight="1" x14ac:dyDescent="0.25">
      <c r="A12" s="90" t="s">
        <v>141</v>
      </c>
      <c r="B12" s="113">
        <f>'💵 CASH FLOW'!B24</f>
        <v>115836.70566666662</v>
      </c>
      <c r="C12" s="113">
        <f>'💵 CASH FLOW'!C24</f>
        <v>193210.11350000009</v>
      </c>
      <c r="D12" s="113">
        <f>'💵 CASH FLOW'!D24</f>
        <v>276340.62604541692</v>
      </c>
      <c r="E12" s="113">
        <f>'💵 CASH FLOW'!E24</f>
        <v>365387.62319100223</v>
      </c>
      <c r="F12" s="113">
        <f>'💵 CASH FLOW'!F24</f>
        <v>460514.60257930798</v>
      </c>
      <c r="G12" s="113">
        <f>'💵 CASH FLOW'!G24</f>
        <v>561889.28179176361</v>
      </c>
      <c r="H12" s="113">
        <f>'💵 CASH FLOW'!H24</f>
        <v>669683.70301398553</v>
      </c>
      <c r="I12" s="113">
        <f>'💵 CASH FLOW'!I24</f>
        <v>784074.34024121752</v>
      </c>
      <c r="J12" s="113">
        <f>'💵 CASH FLOW'!J24</f>
        <v>905242.2090845257</v>
      </c>
      <c r="K12" s="113">
        <f>'💵 CASH FLOW'!K24</f>
        <v>1033372.9792397986</v>
      </c>
      <c r="L12" s="113">
        <f>'💵 CASH FLOW'!L24</f>
        <v>1168657.0896830484</v>
      </c>
      <c r="M12" s="113">
        <f>'💵 CASH FLOW'!M24</f>
        <v>1311289.866657008</v>
      </c>
      <c r="N12" s="110">
        <f t="shared" ref="N12:N17" si="2">M12</f>
        <v>1311289.866657008</v>
      </c>
    </row>
    <row r="13" spans="1:14" ht="30.75" customHeight="1" x14ac:dyDescent="0.25">
      <c r="A13" s="79" t="s">
        <v>142</v>
      </c>
      <c r="B13" s="114">
        <f>'📈 P&amp;L'!B6*('⚙ SETUP'!$B$22/30)</f>
        <v>1275000</v>
      </c>
      <c r="C13" s="114">
        <f>'📈 P&amp;L'!C6*('⚙ SETUP'!$B$22/30)</f>
        <v>1306874.9999999998</v>
      </c>
      <c r="D13" s="114">
        <f>'📈 P&amp;L'!D6*('⚙ SETUP'!$B$22/30)</f>
        <v>1339546.8749999995</v>
      </c>
      <c r="E13" s="114">
        <f>'📈 P&amp;L'!E6*('⚙ SETUP'!$B$22/30)</f>
        <v>1373035.5468749995</v>
      </c>
      <c r="F13" s="114">
        <f>'📈 P&amp;L'!F6*('⚙ SETUP'!$B$22/30)</f>
        <v>1407361.4355468743</v>
      </c>
      <c r="G13" s="114">
        <f>'📈 P&amp;L'!G6*('⚙ SETUP'!$B$22/30)</f>
        <v>1442545.4714355459</v>
      </c>
      <c r="H13" s="114">
        <f>'📈 P&amp;L'!H6*('⚙ SETUP'!$B$22/30)</f>
        <v>1478609.1082214345</v>
      </c>
      <c r="I13" s="114">
        <f>'📈 P&amp;L'!I6*('⚙ SETUP'!$B$22/30)</f>
        <v>1515574.3359269702</v>
      </c>
      <c r="J13" s="114">
        <f>'📈 P&amp;L'!J6*('⚙ SETUP'!$B$22/30)</f>
        <v>1553463.6943251444</v>
      </c>
      <c r="K13" s="114">
        <f>'📈 P&amp;L'!K6*('⚙ SETUP'!$B$22/30)</f>
        <v>1592300.2866832728</v>
      </c>
      <c r="L13" s="114">
        <f>'📈 P&amp;L'!L6*('⚙ SETUP'!$B$22/30)</f>
        <v>1632107.7938503544</v>
      </c>
      <c r="M13" s="114">
        <f>'📈 P&amp;L'!M6*('⚙ SETUP'!$B$22/30)</f>
        <v>1672910.4886966133</v>
      </c>
      <c r="N13" s="110">
        <f t="shared" si="2"/>
        <v>1672910.4886966133</v>
      </c>
    </row>
    <row r="14" spans="1:14" ht="30.75" customHeight="1" x14ac:dyDescent="0.25">
      <c r="A14" s="79" t="s">
        <v>143</v>
      </c>
      <c r="B14" s="114">
        <f>'📈 P&amp;L'!B8*('⚙ SETUP'!$B$24/30)</f>
        <v>623333.33333333337</v>
      </c>
      <c r="C14" s="114">
        <f>'📈 P&amp;L'!C8*('⚙ SETUP'!$B$24/30)</f>
        <v>638916.66666666663</v>
      </c>
      <c r="D14" s="114">
        <f>'📈 P&amp;L'!D8*('⚙ SETUP'!$B$24/30)</f>
        <v>654889.58333333314</v>
      </c>
      <c r="E14" s="114">
        <f>'📈 P&amp;L'!E8*('⚙ SETUP'!$B$24/30)</f>
        <v>671261.8229166664</v>
      </c>
      <c r="F14" s="114">
        <f>'📈 P&amp;L'!F8*('⚙ SETUP'!$B$24/30)</f>
        <v>688043.36848958302</v>
      </c>
      <c r="G14" s="114">
        <f>'📈 P&amp;L'!G8*('⚙ SETUP'!$B$24/30)</f>
        <v>705244.45270182251</v>
      </c>
      <c r="H14" s="114">
        <f>'📈 P&amp;L'!H8*('⚙ SETUP'!$B$24/30)</f>
        <v>722875.56401936803</v>
      </c>
      <c r="I14" s="114">
        <f>'📈 P&amp;L'!I8*('⚙ SETUP'!$B$24/30)</f>
        <v>740947.45311985211</v>
      </c>
      <c r="J14" s="114">
        <f>'📈 P&amp;L'!J8*('⚙ SETUP'!$B$24/30)</f>
        <v>759471.13944784843</v>
      </c>
      <c r="K14" s="114">
        <f>'📈 P&amp;L'!K8*('⚙ SETUP'!$B$24/30)</f>
        <v>778457.9179340445</v>
      </c>
      <c r="L14" s="114">
        <f>'📈 P&amp;L'!L8*('⚙ SETUP'!$B$24/30)</f>
        <v>797919.36588239553</v>
      </c>
      <c r="M14" s="114">
        <f>'📈 P&amp;L'!M8*('⚙ SETUP'!$B$24/30)</f>
        <v>817867.3500294555</v>
      </c>
      <c r="N14" s="110">
        <f t="shared" si="2"/>
        <v>817867.3500294555</v>
      </c>
    </row>
    <row r="15" spans="1:14" ht="30.75" customHeight="1" x14ac:dyDescent="0.25">
      <c r="A15" s="79" t="s">
        <v>144</v>
      </c>
      <c r="B15" s="114">
        <f>'⚙ SETUP'!$B$10+'📈 P&amp;L'!B8*'⚙ SETUP'!$B$21-MIN('📈 P&amp;L'!B6*'⚙ SETUP'!$B$21,'📈 P&amp;L'!B8*'⚙ SETUP'!$B$21+'⚙ SETUP'!$B$10)</f>
        <v>0</v>
      </c>
      <c r="C15" s="114">
        <f>B15+'📈 P&amp;L'!C8*'⚙ SETUP'!$B$21-MIN('📈 P&amp;L'!C6*'⚙ SETUP'!$B$21,'📈 P&amp;L'!C8*'⚙ SETUP'!$B$21+B15)</f>
        <v>0</v>
      </c>
      <c r="D15" s="114">
        <f>C15+'📈 P&amp;L'!D8*'⚙ SETUP'!$B$21-MIN('📈 P&amp;L'!D6*'⚙ SETUP'!$B$21,'📈 P&amp;L'!D8*'⚙ SETUP'!$B$21+C15)</f>
        <v>0</v>
      </c>
      <c r="E15" s="114">
        <f>D15+'📈 P&amp;L'!E8*'⚙ SETUP'!$B$21-MIN('📈 P&amp;L'!E6*'⚙ SETUP'!$B$21,'📈 P&amp;L'!E8*'⚙ SETUP'!$B$21+D15)</f>
        <v>0</v>
      </c>
      <c r="F15" s="114">
        <f>E15+'📈 P&amp;L'!F8*'⚙ SETUP'!$B$21-MIN('📈 P&amp;L'!F6*'⚙ SETUP'!$B$21,'📈 P&amp;L'!F8*'⚙ SETUP'!$B$21+E15)</f>
        <v>0</v>
      </c>
      <c r="G15" s="114">
        <f>F15+'📈 P&amp;L'!G8*'⚙ SETUP'!$B$21-MIN('📈 P&amp;L'!G6*'⚙ SETUP'!$B$21,'📈 P&amp;L'!G8*'⚙ SETUP'!$B$21+F15)</f>
        <v>0</v>
      </c>
      <c r="H15" s="114">
        <f>G15+'📈 P&amp;L'!H8*'⚙ SETUP'!$B$21-MIN('📈 P&amp;L'!H6*'⚙ SETUP'!$B$21,'📈 P&amp;L'!H8*'⚙ SETUP'!$B$21+G15)</f>
        <v>0</v>
      </c>
      <c r="I15" s="114">
        <f>H15+'📈 P&amp;L'!I8*'⚙ SETUP'!$B$21-MIN('📈 P&amp;L'!I6*'⚙ SETUP'!$B$21,'📈 P&amp;L'!I8*'⚙ SETUP'!$B$21+H15)</f>
        <v>0</v>
      </c>
      <c r="J15" s="114">
        <f>I15+'📈 P&amp;L'!J8*'⚙ SETUP'!$B$21-MIN('📈 P&amp;L'!J6*'⚙ SETUP'!$B$21,'📈 P&amp;L'!J8*'⚙ SETUP'!$B$21+I15)</f>
        <v>0</v>
      </c>
      <c r="K15" s="114">
        <f>J15+'📈 P&amp;L'!K8*'⚙ SETUP'!$B$21-MIN('📈 P&amp;L'!K6*'⚙ SETUP'!$B$21,'📈 P&amp;L'!K8*'⚙ SETUP'!$B$21+J15)</f>
        <v>0</v>
      </c>
      <c r="L15" s="114">
        <f>K15+'📈 P&amp;L'!L8*'⚙ SETUP'!$B$21-MIN('📈 P&amp;L'!L6*'⚙ SETUP'!$B$21,'📈 P&amp;L'!L8*'⚙ SETUP'!$B$21+K15)</f>
        <v>0</v>
      </c>
      <c r="M15" s="114">
        <f>L15+'📈 P&amp;L'!M8*'⚙ SETUP'!$B$21-MIN('📈 P&amp;L'!M6*'⚙ SETUP'!$B$21,'📈 P&amp;L'!M8*'⚙ SETUP'!$B$21+L15)</f>
        <v>0</v>
      </c>
      <c r="N15" s="110">
        <f t="shared" si="2"/>
        <v>0</v>
      </c>
    </row>
    <row r="16" spans="1:14" ht="30.75" customHeight="1" x14ac:dyDescent="0.25">
      <c r="A16" s="111" t="s">
        <v>145</v>
      </c>
      <c r="B16" s="112">
        <f t="shared" ref="B16:M16" si="3">B12+B13+B14+B15</f>
        <v>2014170.0389999999</v>
      </c>
      <c r="C16" s="112">
        <f t="shared" si="3"/>
        <v>2139001.7801666665</v>
      </c>
      <c r="D16" s="112">
        <f t="shared" si="3"/>
        <v>2270777.0843787496</v>
      </c>
      <c r="E16" s="112">
        <f t="shared" si="3"/>
        <v>2409684.9929826683</v>
      </c>
      <c r="F16" s="112">
        <f t="shared" si="3"/>
        <v>2555919.4066157653</v>
      </c>
      <c r="G16" s="112">
        <f t="shared" si="3"/>
        <v>2709679.2059291322</v>
      </c>
      <c r="H16" s="112">
        <f t="shared" si="3"/>
        <v>2871168.375254788</v>
      </c>
      <c r="I16" s="112">
        <f t="shared" si="3"/>
        <v>3040596.1292880396</v>
      </c>
      <c r="J16" s="112">
        <f t="shared" si="3"/>
        <v>3218177.0428575184</v>
      </c>
      <c r="K16" s="112">
        <f t="shared" si="3"/>
        <v>3404131.1838571159</v>
      </c>
      <c r="L16" s="112">
        <f t="shared" si="3"/>
        <v>3598684.2494157981</v>
      </c>
      <c r="M16" s="112">
        <f t="shared" si="3"/>
        <v>3802067.7053830768</v>
      </c>
      <c r="N16" s="110">
        <f t="shared" si="2"/>
        <v>3802067.7053830768</v>
      </c>
    </row>
    <row r="17" spans="1:14" ht="30.75" customHeight="1" x14ac:dyDescent="0.25">
      <c r="A17" s="115" t="s">
        <v>146</v>
      </c>
      <c r="B17" s="116">
        <f t="shared" ref="B17:M17" si="4">B9+B16</f>
        <v>3794250.0389999999</v>
      </c>
      <c r="C17" s="116">
        <f t="shared" si="4"/>
        <v>3899161.7801666665</v>
      </c>
      <c r="D17" s="116">
        <f t="shared" si="4"/>
        <v>4011017.0843787496</v>
      </c>
      <c r="E17" s="116">
        <f t="shared" si="4"/>
        <v>4130004.9929826683</v>
      </c>
      <c r="F17" s="116">
        <f t="shared" si="4"/>
        <v>4256319.4066157658</v>
      </c>
      <c r="G17" s="116">
        <f t="shared" si="4"/>
        <v>4390159.2059291322</v>
      </c>
      <c r="H17" s="116">
        <f t="shared" si="4"/>
        <v>4531728.3752547875</v>
      </c>
      <c r="I17" s="116">
        <f t="shared" si="4"/>
        <v>4681236.1292880401</v>
      </c>
      <c r="J17" s="116">
        <f t="shared" si="4"/>
        <v>4838897.0428575184</v>
      </c>
      <c r="K17" s="116">
        <f t="shared" si="4"/>
        <v>5004931.1838571159</v>
      </c>
      <c r="L17" s="116">
        <f t="shared" si="4"/>
        <v>5179564.2494157981</v>
      </c>
      <c r="M17" s="116">
        <f t="shared" si="4"/>
        <v>5363027.7053830773</v>
      </c>
      <c r="N17" s="110">
        <f t="shared" si="2"/>
        <v>5363027.7053830773</v>
      </c>
    </row>
    <row r="19" spans="1:14" ht="30.75" customHeight="1" x14ac:dyDescent="0.25">
      <c r="A19" s="92" t="s">
        <v>147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14" ht="30.75" customHeight="1" x14ac:dyDescent="0.25">
      <c r="A20" s="108" t="s">
        <v>148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spans="1:14" ht="30.75" customHeight="1" x14ac:dyDescent="0.25">
      <c r="A21" s="93" t="s">
        <v>149</v>
      </c>
      <c r="B21" s="109">
        <f>'⚙ SETUP'!$B$11</f>
        <v>1500000</v>
      </c>
      <c r="C21" s="109">
        <f>'⚙ SETUP'!$B$11</f>
        <v>1500000</v>
      </c>
      <c r="D21" s="109">
        <f>'⚙ SETUP'!$B$11</f>
        <v>1500000</v>
      </c>
      <c r="E21" s="109">
        <f>'⚙ SETUP'!$B$11</f>
        <v>1500000</v>
      </c>
      <c r="F21" s="109">
        <f>'⚙ SETUP'!$B$11</f>
        <v>1500000</v>
      </c>
      <c r="G21" s="109">
        <f>'⚙ SETUP'!$B$11</f>
        <v>1500000</v>
      </c>
      <c r="H21" s="109">
        <f>'⚙ SETUP'!$B$11</f>
        <v>1500000</v>
      </c>
      <c r="I21" s="109">
        <f>'⚙ SETUP'!$B$11</f>
        <v>1500000</v>
      </c>
      <c r="J21" s="109">
        <f>'⚙ SETUP'!$B$11</f>
        <v>1500000</v>
      </c>
      <c r="K21" s="109">
        <f>'⚙ SETUP'!$B$11</f>
        <v>1500000</v>
      </c>
      <c r="L21" s="109">
        <f>'⚙ SETUP'!$B$11</f>
        <v>1500000</v>
      </c>
      <c r="M21" s="109">
        <f>'⚙ SETUP'!$B$11</f>
        <v>1500000</v>
      </c>
      <c r="N21" s="110">
        <f>M21</f>
        <v>1500000</v>
      </c>
    </row>
    <row r="22" spans="1:14" ht="30.75" customHeight="1" x14ac:dyDescent="0.25">
      <c r="A22" s="117" t="s">
        <v>150</v>
      </c>
      <c r="B22" s="118">
        <f>'⚙ SETUP'!$B$12+'📈 P&amp;L'!B27</f>
        <v>892900.03899999999</v>
      </c>
      <c r="C22" s="118">
        <f>B22+'📈 P&amp;L'!C27</f>
        <v>940553.03016666661</v>
      </c>
      <c r="D22" s="118">
        <f>C22+'📈 P&amp;L'!D27</f>
        <v>993093.11562874983</v>
      </c>
      <c r="E22" s="118">
        <f>D22+'📈 P&amp;L'!E27</f>
        <v>1050657.9250139184</v>
      </c>
      <c r="F22" s="118">
        <f>E22+'📈 P&amp;L'!F27</f>
        <v>1113388.6619477968</v>
      </c>
      <c r="G22" s="118">
        <f>F22+'📈 P&amp;L'!G27</f>
        <v>1181430.1926444646</v>
      </c>
      <c r="H22" s="118">
        <f>G22+'📈 P&amp;L'!H27</f>
        <v>1254931.1366380041</v>
      </c>
      <c r="I22" s="118">
        <f>H22+'📈 P&amp;L'!I27</f>
        <v>1334043.9597058366</v>
      </c>
      <c r="J22" s="118">
        <f>I22+'📈 P&amp;L'!J27</f>
        <v>1418925.0690357604</v>
      </c>
      <c r="K22" s="118">
        <f>J22+'📈 P&amp;L'!K27</f>
        <v>1509734.9106898138</v>
      </c>
      <c r="L22" s="118">
        <f>K22+'📈 P&amp;L'!L27</f>
        <v>1606638.0694193137</v>
      </c>
      <c r="M22" s="118">
        <f>L22+'📈 P&amp;L'!M27</f>
        <v>1709803.3708866802</v>
      </c>
      <c r="N22" s="110">
        <f>M22</f>
        <v>1709803.3708866802</v>
      </c>
    </row>
    <row r="23" spans="1:14" ht="30.75" customHeight="1" x14ac:dyDescent="0.25">
      <c r="A23" s="111" t="s">
        <v>151</v>
      </c>
      <c r="B23" s="112">
        <f t="shared" ref="B23:M23" si="5">B21+B22</f>
        <v>2392900.0389999999</v>
      </c>
      <c r="C23" s="112">
        <f t="shared" si="5"/>
        <v>2440553.0301666665</v>
      </c>
      <c r="D23" s="112">
        <f t="shared" si="5"/>
        <v>2493093.1156287501</v>
      </c>
      <c r="E23" s="112">
        <f t="shared" si="5"/>
        <v>2550657.9250139184</v>
      </c>
      <c r="F23" s="112">
        <f t="shared" si="5"/>
        <v>2613388.6619477971</v>
      </c>
      <c r="G23" s="112">
        <f t="shared" si="5"/>
        <v>2681430.1926444648</v>
      </c>
      <c r="H23" s="112">
        <f t="shared" si="5"/>
        <v>2754931.1366380043</v>
      </c>
      <c r="I23" s="112">
        <f t="shared" si="5"/>
        <v>2834043.9597058366</v>
      </c>
      <c r="J23" s="112">
        <f t="shared" si="5"/>
        <v>2918925.0690357601</v>
      </c>
      <c r="K23" s="112">
        <f t="shared" si="5"/>
        <v>3009734.910689814</v>
      </c>
      <c r="L23" s="112">
        <f t="shared" si="5"/>
        <v>3106638.0694193137</v>
      </c>
      <c r="M23" s="112">
        <f t="shared" si="5"/>
        <v>3209803.3708866802</v>
      </c>
      <c r="N23" s="110">
        <f>M23</f>
        <v>3209803.3708866802</v>
      </c>
    </row>
    <row r="25" spans="1:14" ht="30.75" customHeight="1" x14ac:dyDescent="0.25">
      <c r="A25" s="108" t="s">
        <v>152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</row>
    <row r="26" spans="1:14" ht="30.75" customHeight="1" x14ac:dyDescent="0.25">
      <c r="A26" s="87" t="s">
        <v>153</v>
      </c>
      <c r="B26" s="88">
        <f>MAX(0,'⚙ SETUP'!$B$13-1*'⚙ SETUP'!$B$26)-B32</f>
        <v>575000</v>
      </c>
      <c r="C26" s="88">
        <f>MAX(0,'⚙ SETUP'!$B$13-2*'⚙ SETUP'!$B$26)-C32</f>
        <v>550000</v>
      </c>
      <c r="D26" s="88">
        <f>MAX(0,'⚙ SETUP'!$B$13-3*'⚙ SETUP'!$B$26)-D32</f>
        <v>525000</v>
      </c>
      <c r="E26" s="88">
        <f>MAX(0,'⚙ SETUP'!$B$13-4*'⚙ SETUP'!$B$26)-E32</f>
        <v>500000</v>
      </c>
      <c r="F26" s="88">
        <f>MAX(0,'⚙ SETUP'!$B$13-5*'⚙ SETUP'!$B$26)-F32</f>
        <v>475000</v>
      </c>
      <c r="G26" s="88">
        <f>MAX(0,'⚙ SETUP'!$B$13-6*'⚙ SETUP'!$B$26)-G32</f>
        <v>450000</v>
      </c>
      <c r="H26" s="88">
        <f>MAX(0,'⚙ SETUP'!$B$13-7*'⚙ SETUP'!$B$26)-H32</f>
        <v>425000</v>
      </c>
      <c r="I26" s="88">
        <f>MAX(0,'⚙ SETUP'!$B$13-8*'⚙ SETUP'!$B$26)-I32</f>
        <v>400000</v>
      </c>
      <c r="J26" s="88">
        <f>MAX(0,'⚙ SETUP'!$B$13-9*'⚙ SETUP'!$B$26)-J32</f>
        <v>375000</v>
      </c>
      <c r="K26" s="88">
        <f>MAX(0,'⚙ SETUP'!$B$13-10*'⚙ SETUP'!$B$26)-K32</f>
        <v>350000</v>
      </c>
      <c r="L26" s="88">
        <f>MAX(0,'⚙ SETUP'!$B$13-11*'⚙ SETUP'!$B$26)-L32</f>
        <v>325000</v>
      </c>
      <c r="M26" s="88">
        <f>MAX(0,'⚙ SETUP'!$B$13-12*'⚙ SETUP'!$B$26)-M32</f>
        <v>300000</v>
      </c>
      <c r="N26" s="110">
        <f>M26</f>
        <v>300000</v>
      </c>
    </row>
    <row r="27" spans="1:14" ht="30.75" customHeight="1" x14ac:dyDescent="0.25">
      <c r="A27" s="111" t="s">
        <v>154</v>
      </c>
      <c r="B27" s="112">
        <f t="shared" ref="B27:M27" si="6">B26</f>
        <v>575000</v>
      </c>
      <c r="C27" s="112">
        <f t="shared" si="6"/>
        <v>550000</v>
      </c>
      <c r="D27" s="112">
        <f t="shared" si="6"/>
        <v>525000</v>
      </c>
      <c r="E27" s="112">
        <f t="shared" si="6"/>
        <v>500000</v>
      </c>
      <c r="F27" s="112">
        <f t="shared" si="6"/>
        <v>475000</v>
      </c>
      <c r="G27" s="112">
        <f t="shared" si="6"/>
        <v>450000</v>
      </c>
      <c r="H27" s="112">
        <f t="shared" si="6"/>
        <v>425000</v>
      </c>
      <c r="I27" s="112">
        <f t="shared" si="6"/>
        <v>400000</v>
      </c>
      <c r="J27" s="112">
        <f t="shared" si="6"/>
        <v>375000</v>
      </c>
      <c r="K27" s="112">
        <f t="shared" si="6"/>
        <v>350000</v>
      </c>
      <c r="L27" s="112">
        <f t="shared" si="6"/>
        <v>325000</v>
      </c>
      <c r="M27" s="112">
        <f t="shared" si="6"/>
        <v>300000</v>
      </c>
      <c r="N27" s="110">
        <f>M27</f>
        <v>300000</v>
      </c>
    </row>
    <row r="29" spans="1:14" ht="30.75" customHeight="1" x14ac:dyDescent="0.25">
      <c r="A29" s="108" t="s">
        <v>155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14" ht="30.75" customHeight="1" x14ac:dyDescent="0.25">
      <c r="A30" s="119" t="s">
        <v>156</v>
      </c>
      <c r="B30" s="120">
        <f>'📈 P&amp;L'!B8*('⚙ SETUP'!$B$23/30)</f>
        <v>467500.00000000006</v>
      </c>
      <c r="C30" s="120">
        <f>'📈 P&amp;L'!C8*('⚙ SETUP'!$B$23/30)</f>
        <v>479187.5</v>
      </c>
      <c r="D30" s="120">
        <f>'📈 P&amp;L'!D8*('⚙ SETUP'!$B$23/30)</f>
        <v>491167.18749999988</v>
      </c>
      <c r="E30" s="120">
        <f>'📈 P&amp;L'!E8*('⚙ SETUP'!$B$23/30)</f>
        <v>503446.36718749983</v>
      </c>
      <c r="F30" s="120">
        <f>'📈 P&amp;L'!F8*('⚙ SETUP'!$B$23/30)</f>
        <v>516032.52636718727</v>
      </c>
      <c r="G30" s="120">
        <f>'📈 P&amp;L'!G8*('⚙ SETUP'!$B$23/30)</f>
        <v>528933.33952636691</v>
      </c>
      <c r="H30" s="120">
        <f>'📈 P&amp;L'!H8*('⚙ SETUP'!$B$23/30)</f>
        <v>542156.67301452602</v>
      </c>
      <c r="I30" s="120">
        <f>'📈 P&amp;L'!I8*('⚙ SETUP'!$B$23/30)</f>
        <v>555710.58983988909</v>
      </c>
      <c r="J30" s="120">
        <f>'📈 P&amp;L'!J8*('⚙ SETUP'!$B$23/30)</f>
        <v>569603.35458588635</v>
      </c>
      <c r="K30" s="120">
        <f>'📈 P&amp;L'!K8*('⚙ SETUP'!$B$23/30)</f>
        <v>583843.43845053343</v>
      </c>
      <c r="L30" s="120">
        <f>'📈 P&amp;L'!L8*('⚙ SETUP'!$B$23/30)</f>
        <v>598439.52441179671</v>
      </c>
      <c r="M30" s="120">
        <f>'📈 P&amp;L'!M8*('⚙ SETUP'!$B$23/30)</f>
        <v>613400.51252209162</v>
      </c>
      <c r="N30" s="110">
        <f t="shared" ref="N30:N35" si="7">M30</f>
        <v>613400.51252209162</v>
      </c>
    </row>
    <row r="31" spans="1:14" ht="30.75" customHeight="1" x14ac:dyDescent="0.25">
      <c r="A31" s="119" t="s">
        <v>157</v>
      </c>
      <c r="B31" s="120">
        <f>'⚙ SETUP'!$B$15+'📈 P&amp;L'!B6*'⚙ SETUP'!$B$21-MIN('📈 P&amp;L'!B6*'⚙ SETUP'!$B$21,'📈 P&amp;L'!B8*'⚙ SETUP'!$B$21+'⚙ SETUP'!$B$10)</f>
        <v>58849.999999999985</v>
      </c>
      <c r="C31" s="120">
        <f>B31+'📈 P&amp;L'!C6*'⚙ SETUP'!$B$21-MIN('📈 P&amp;L'!C6*'⚙ SETUP'!$B$21,'📈 P&amp;L'!C8*'⚙ SETUP'!$B$21+B15)</f>
        <v>129421.24999999994</v>
      </c>
      <c r="D31" s="120">
        <f>C31+'📈 P&amp;L'!D6*'⚙ SETUP'!$B$21-MIN('📈 P&amp;L'!D6*'⚙ SETUP'!$B$21,'📈 P&amp;L'!D8*'⚙ SETUP'!$B$21+C15)</f>
        <v>201756.78124999991</v>
      </c>
      <c r="E31" s="120">
        <f>D31+'📈 P&amp;L'!E6*'⚙ SETUP'!$B$21-MIN('📈 P&amp;L'!E6*'⚙ SETUP'!$B$21,'📈 P&amp;L'!E8*'⚙ SETUP'!$B$21+D15)</f>
        <v>275900.70078124991</v>
      </c>
      <c r="F31" s="120">
        <f>E31+'📈 P&amp;L'!F6*'⚙ SETUP'!$B$21-MIN('📈 P&amp;L'!F6*'⚙ SETUP'!$B$21,'📈 P&amp;L'!F8*'⚙ SETUP'!$B$21+E15)</f>
        <v>351898.2183007811</v>
      </c>
      <c r="G31" s="120">
        <f>F31+'📈 P&amp;L'!G6*'⚙ SETUP'!$B$21-MIN('📈 P&amp;L'!G6*'⚙ SETUP'!$B$21,'📈 P&amp;L'!G8*'⚙ SETUP'!$B$21+F15)</f>
        <v>429795.67375830055</v>
      </c>
      <c r="H31" s="120">
        <f>G31+'📈 P&amp;L'!H6*'⚙ SETUP'!$B$21-MIN('📈 P&amp;L'!H6*'⚙ SETUP'!$B$21,'📈 P&amp;L'!H8*'⚙ SETUP'!$B$21+G15)</f>
        <v>509640.56560225796</v>
      </c>
      <c r="I31" s="120">
        <f>H31+'📈 P&amp;L'!I6*'⚙ SETUP'!$B$21-MIN('📈 P&amp;L'!I6*'⚙ SETUP'!$B$21,'📈 P&amp;L'!I8*'⚙ SETUP'!$B$21+H15)</f>
        <v>591481.57974231429</v>
      </c>
      <c r="J31" s="120">
        <f>I31+'📈 P&amp;L'!J6*'⚙ SETUP'!$B$21-MIN('📈 P&amp;L'!J6*'⚙ SETUP'!$B$21,'📈 P&amp;L'!J8*'⚙ SETUP'!$B$21+I15)</f>
        <v>675368.61923587206</v>
      </c>
      <c r="K31" s="120">
        <f>J31+'📈 P&amp;L'!K6*'⚙ SETUP'!$B$21-MIN('📈 P&amp;L'!K6*'⚙ SETUP'!$B$21,'📈 P&amp;L'!K8*'⚙ SETUP'!$B$21+J15)</f>
        <v>761352.83471676882</v>
      </c>
      <c r="L31" s="120">
        <f>K31+'📈 P&amp;L'!L6*'⚙ SETUP'!$B$21-MIN('📈 P&amp;L'!L6*'⚙ SETUP'!$B$21,'📈 P&amp;L'!L8*'⚙ SETUP'!$B$21+K15)</f>
        <v>849486.65558468795</v>
      </c>
      <c r="M31" s="120">
        <f>L31+'📈 P&amp;L'!M6*'⚙ SETUP'!$B$21-MIN('📈 P&amp;L'!M6*'⚙ SETUP'!$B$21,'📈 P&amp;L'!M8*'⚙ SETUP'!$B$21+L15)</f>
        <v>939823.82197430497</v>
      </c>
      <c r="N31" s="110">
        <f t="shared" si="7"/>
        <v>939823.82197430497</v>
      </c>
    </row>
    <row r="32" spans="1:14" ht="30.75" customHeight="1" x14ac:dyDescent="0.25">
      <c r="A32" s="119" t="s">
        <v>158</v>
      </c>
      <c r="B32" s="120">
        <f>MIN(MAX(0,'⚙ SETUP'!$B$13-1*'⚙ SETUP'!$B$26),12*'⚙ SETUP'!$B$26)</f>
        <v>300000</v>
      </c>
      <c r="C32" s="120">
        <f>MIN(MAX(0,'⚙ SETUP'!$B$13-2*'⚙ SETUP'!$B$26),12*'⚙ SETUP'!$B$26)</f>
        <v>300000</v>
      </c>
      <c r="D32" s="120">
        <f>MIN(MAX(0,'⚙ SETUP'!$B$13-3*'⚙ SETUP'!$B$26),12*'⚙ SETUP'!$B$26)</f>
        <v>300000</v>
      </c>
      <c r="E32" s="120">
        <f>MIN(MAX(0,'⚙ SETUP'!$B$13-4*'⚙ SETUP'!$B$26),12*'⚙ SETUP'!$B$26)</f>
        <v>300000</v>
      </c>
      <c r="F32" s="120">
        <f>MIN(MAX(0,'⚙ SETUP'!$B$13-5*'⚙ SETUP'!$B$26),12*'⚙ SETUP'!$B$26)</f>
        <v>300000</v>
      </c>
      <c r="G32" s="120">
        <f>MIN(MAX(0,'⚙ SETUP'!$B$13-6*'⚙ SETUP'!$B$26),12*'⚙ SETUP'!$B$26)</f>
        <v>300000</v>
      </c>
      <c r="H32" s="120">
        <f>MIN(MAX(0,'⚙ SETUP'!$B$13-7*'⚙ SETUP'!$B$26),12*'⚙ SETUP'!$B$26)</f>
        <v>300000</v>
      </c>
      <c r="I32" s="120">
        <f>MIN(MAX(0,'⚙ SETUP'!$B$13-8*'⚙ SETUP'!$B$26),12*'⚙ SETUP'!$B$26)</f>
        <v>300000</v>
      </c>
      <c r="J32" s="120">
        <f>MIN(MAX(0,'⚙ SETUP'!$B$13-9*'⚙ SETUP'!$B$26),12*'⚙ SETUP'!$B$26)</f>
        <v>300000</v>
      </c>
      <c r="K32" s="120">
        <f>MIN(MAX(0,'⚙ SETUP'!$B$13-10*'⚙ SETUP'!$B$26),12*'⚙ SETUP'!$B$26)</f>
        <v>300000</v>
      </c>
      <c r="L32" s="120">
        <f>MIN(MAX(0,'⚙ SETUP'!$B$13-11*'⚙ SETUP'!$B$26),12*'⚙ SETUP'!$B$26)</f>
        <v>300000</v>
      </c>
      <c r="M32" s="120">
        <f>MIN(MAX(0,'⚙ SETUP'!$B$13-12*'⚙ SETUP'!$B$26),12*'⚙ SETUP'!$B$26)</f>
        <v>300000</v>
      </c>
      <c r="N32" s="110">
        <f t="shared" si="7"/>
        <v>300000</v>
      </c>
    </row>
    <row r="33" spans="1:14" ht="30.75" customHeight="1" x14ac:dyDescent="0.25">
      <c r="A33" s="111" t="s">
        <v>159</v>
      </c>
      <c r="B33" s="112">
        <f t="shared" ref="B33:M33" si="8">B30+B31+B32</f>
        <v>826350</v>
      </c>
      <c r="C33" s="112">
        <f t="shared" si="8"/>
        <v>908608.75</v>
      </c>
      <c r="D33" s="112">
        <f t="shared" si="8"/>
        <v>992923.96874999977</v>
      </c>
      <c r="E33" s="112">
        <f t="shared" si="8"/>
        <v>1079347.0679687497</v>
      </c>
      <c r="F33" s="112">
        <f t="shared" si="8"/>
        <v>1167930.7446679682</v>
      </c>
      <c r="G33" s="112">
        <f t="shared" si="8"/>
        <v>1258729.0132846674</v>
      </c>
      <c r="H33" s="112">
        <f t="shared" si="8"/>
        <v>1351797.2386167841</v>
      </c>
      <c r="I33" s="112">
        <f t="shared" si="8"/>
        <v>1447192.1695822035</v>
      </c>
      <c r="J33" s="112">
        <f t="shared" si="8"/>
        <v>1544971.9738217583</v>
      </c>
      <c r="K33" s="112">
        <f t="shared" si="8"/>
        <v>1645196.2731673024</v>
      </c>
      <c r="L33" s="112">
        <f t="shared" si="8"/>
        <v>1747926.1799964847</v>
      </c>
      <c r="M33" s="112">
        <f t="shared" si="8"/>
        <v>1853224.3344963966</v>
      </c>
      <c r="N33" s="110">
        <f t="shared" si="7"/>
        <v>1853224.3344963966</v>
      </c>
    </row>
    <row r="34" spans="1:14" ht="30.75" customHeight="1" x14ac:dyDescent="0.25">
      <c r="A34" s="121" t="s">
        <v>160</v>
      </c>
      <c r="B34" s="122">
        <f t="shared" ref="B34:M34" si="9">B23+B27+B33</f>
        <v>3794250.0389999999</v>
      </c>
      <c r="C34" s="122">
        <f t="shared" si="9"/>
        <v>3899161.7801666665</v>
      </c>
      <c r="D34" s="122">
        <f t="shared" si="9"/>
        <v>4011017.0843787501</v>
      </c>
      <c r="E34" s="122">
        <f t="shared" si="9"/>
        <v>4130004.9929826679</v>
      </c>
      <c r="F34" s="122">
        <f t="shared" si="9"/>
        <v>4256319.4066157658</v>
      </c>
      <c r="G34" s="122">
        <f t="shared" si="9"/>
        <v>4390159.2059291322</v>
      </c>
      <c r="H34" s="122">
        <f t="shared" si="9"/>
        <v>4531728.3752547884</v>
      </c>
      <c r="I34" s="122">
        <f t="shared" si="9"/>
        <v>4681236.1292880401</v>
      </c>
      <c r="J34" s="122">
        <f t="shared" si="9"/>
        <v>4838897.0428575184</v>
      </c>
      <c r="K34" s="122">
        <f t="shared" si="9"/>
        <v>5004931.1838571168</v>
      </c>
      <c r="L34" s="122">
        <f t="shared" si="9"/>
        <v>5179564.2494157981</v>
      </c>
      <c r="M34" s="122">
        <f t="shared" si="9"/>
        <v>5363027.7053830773</v>
      </c>
      <c r="N34" s="110">
        <f t="shared" si="7"/>
        <v>5363027.7053830773</v>
      </c>
    </row>
    <row r="35" spans="1:14" ht="30.75" customHeight="1" x14ac:dyDescent="0.25">
      <c r="A35" s="123" t="s">
        <v>161</v>
      </c>
      <c r="B35" s="124">
        <f t="shared" ref="B35:M35" si="10">B17-B34</f>
        <v>0</v>
      </c>
      <c r="C35" s="124">
        <f t="shared" si="10"/>
        <v>0</v>
      </c>
      <c r="D35" s="124">
        <f t="shared" si="10"/>
        <v>0</v>
      </c>
      <c r="E35" s="124">
        <f t="shared" si="10"/>
        <v>0</v>
      </c>
      <c r="F35" s="124">
        <f t="shared" si="10"/>
        <v>0</v>
      </c>
      <c r="G35" s="124">
        <f t="shared" si="10"/>
        <v>0</v>
      </c>
      <c r="H35" s="124">
        <f t="shared" si="10"/>
        <v>0</v>
      </c>
      <c r="I35" s="124">
        <f t="shared" si="10"/>
        <v>0</v>
      </c>
      <c r="J35" s="124">
        <f t="shared" si="10"/>
        <v>0</v>
      </c>
      <c r="K35" s="124">
        <f t="shared" si="10"/>
        <v>0</v>
      </c>
      <c r="L35" s="124">
        <f t="shared" si="10"/>
        <v>0</v>
      </c>
      <c r="M35" s="124">
        <f t="shared" si="10"/>
        <v>0</v>
      </c>
      <c r="N35" s="110">
        <f t="shared" si="7"/>
        <v>0</v>
      </c>
    </row>
    <row r="37" spans="1:14" ht="30.75" customHeight="1" x14ac:dyDescent="0.25">
      <c r="A37" s="104" t="s">
        <v>162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</sheetData>
  <sheetProtection algorithmName="SHA-512" hashValue="sdH7/iDi53qCqBIikMeVao/sXd3+AD1a4GRVqSWyBrGaaueDxh+1FwnkJxOU+h2vO1/1ITCF9sZf5B+mR0+lGQ==" saltValue="SzcYj2N2S0AhTg8ngE+McA==" spinCount="100000" sheet="1" objects="1" scenarios="1"/>
  <mergeCells count="10">
    <mergeCell ref="A1:N1"/>
    <mergeCell ref="A2:N2"/>
    <mergeCell ref="A4:N4"/>
    <mergeCell ref="A5:N5"/>
    <mergeCell ref="A11:N11"/>
    <mergeCell ref="A19:N19"/>
    <mergeCell ref="A20:N20"/>
    <mergeCell ref="A25:N25"/>
    <mergeCell ref="A29:N29"/>
    <mergeCell ref="A37:N37"/>
  </mergeCells>
  <pageMargins left="0.75" right="0.75" top="1" bottom="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B4F72"/>
  </sheetPr>
  <dimension ref="A1:N24"/>
  <sheetViews>
    <sheetView zoomScaleNormal="100" workbookViewId="0">
      <selection sqref="A1:XFD1048576"/>
    </sheetView>
  </sheetViews>
  <sheetFormatPr defaultColWidth="8.7109375" defaultRowHeight="15" x14ac:dyDescent="0.25"/>
  <cols>
    <col min="1" max="1" width="34" style="1" customWidth="1"/>
    <col min="2" max="13" width="10.5703125" style="1" customWidth="1"/>
    <col min="14" max="14" width="12" style="1" customWidth="1"/>
    <col min="15" max="16384" width="8.7109375" style="1"/>
  </cols>
  <sheetData>
    <row r="1" spans="1:14" ht="30" customHeight="1" x14ac:dyDescent="0.25">
      <c r="A1" s="37" t="s">
        <v>163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8" customHeight="1" x14ac:dyDescent="0.25">
      <c r="A3" s="6" t="s">
        <v>94</v>
      </c>
      <c r="B3" s="7" t="s">
        <v>95</v>
      </c>
      <c r="C3" s="7" t="s">
        <v>96</v>
      </c>
      <c r="D3" s="7" t="s">
        <v>97</v>
      </c>
      <c r="E3" s="7" t="s">
        <v>98</v>
      </c>
      <c r="F3" s="7" t="s">
        <v>99</v>
      </c>
      <c r="G3" s="7" t="s">
        <v>100</v>
      </c>
      <c r="H3" s="7" t="s">
        <v>101</v>
      </c>
      <c r="I3" s="7" t="s">
        <v>102</v>
      </c>
      <c r="J3" s="7" t="s">
        <v>103</v>
      </c>
      <c r="K3" s="7" t="s">
        <v>104</v>
      </c>
      <c r="L3" s="7" t="s">
        <v>105</v>
      </c>
      <c r="M3" s="7" t="s">
        <v>106</v>
      </c>
      <c r="N3" s="8" t="s">
        <v>107</v>
      </c>
    </row>
    <row r="4" spans="1:14" ht="21.75" customHeight="1" x14ac:dyDescent="0.25">
      <c r="A4" s="39" t="s">
        <v>165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" customHeight="1" x14ac:dyDescent="0.25">
      <c r="A5" s="2" t="s">
        <v>166</v>
      </c>
      <c r="B5" s="13">
        <f>'📈 P&amp;L'!B27</f>
        <v>42900.038999999961</v>
      </c>
      <c r="C5" s="13">
        <f>'📈 P&amp;L'!C27</f>
        <v>47652.991166666579</v>
      </c>
      <c r="D5" s="13">
        <f>'📈 P&amp;L'!D27</f>
        <v>52540.085462083254</v>
      </c>
      <c r="E5" s="13">
        <f>'📈 P&amp;L'!E27</f>
        <v>57564.809385168614</v>
      </c>
      <c r="F5" s="13">
        <f>'📈 P&amp;L'!F27</f>
        <v>62730.736933878492</v>
      </c>
      <c r="G5" s="13">
        <f>'📈 P&amp;L'!G27</f>
        <v>68041.530696667731</v>
      </c>
      <c r="H5" s="13">
        <f>'📈 P&amp;L'!H27</f>
        <v>73500.943993539491</v>
      </c>
      <c r="I5" s="13">
        <f>'📈 P&amp;L'!I27</f>
        <v>79112.823067832403</v>
      </c>
      <c r="J5" s="13">
        <f>'📈 P&amp;L'!J27</f>
        <v>84881.109329923667</v>
      </c>
      <c r="K5" s="13">
        <f>'📈 P&amp;L'!K27</f>
        <v>90809.841654053467</v>
      </c>
      <c r="L5" s="13">
        <f>'📈 P&amp;L'!L27</f>
        <v>96903.158729499934</v>
      </c>
      <c r="M5" s="13">
        <f>'📈 P&amp;L'!M27</f>
        <v>103165.30146736662</v>
      </c>
      <c r="N5" s="14">
        <f t="shared" ref="N5:N11" si="0">SUM(B5:M5)</f>
        <v>859803.3708866802</v>
      </c>
    </row>
    <row r="6" spans="1:14" ht="15" customHeight="1" x14ac:dyDescent="0.25">
      <c r="A6" s="15" t="s">
        <v>167</v>
      </c>
      <c r="B6" s="16">
        <f>'📈 P&amp;L'!B22</f>
        <v>19920</v>
      </c>
      <c r="C6" s="16">
        <f>'📈 P&amp;L'!C22</f>
        <v>19920</v>
      </c>
      <c r="D6" s="16">
        <f>'📈 P&amp;L'!D22</f>
        <v>19920</v>
      </c>
      <c r="E6" s="16">
        <f>'📈 P&amp;L'!E22</f>
        <v>19920</v>
      </c>
      <c r="F6" s="16">
        <f>'📈 P&amp;L'!F22</f>
        <v>19920</v>
      </c>
      <c r="G6" s="16">
        <f>'📈 P&amp;L'!G22</f>
        <v>19920</v>
      </c>
      <c r="H6" s="16">
        <f>'📈 P&amp;L'!H22</f>
        <v>19920</v>
      </c>
      <c r="I6" s="16">
        <f>'📈 P&amp;L'!I22</f>
        <v>19920</v>
      </c>
      <c r="J6" s="16">
        <f>'📈 P&amp;L'!J22</f>
        <v>19920</v>
      </c>
      <c r="K6" s="16">
        <f>'📈 P&amp;L'!K22</f>
        <v>19920</v>
      </c>
      <c r="L6" s="16">
        <f>'📈 P&amp;L'!L22</f>
        <v>19920</v>
      </c>
      <c r="M6" s="16">
        <f>'📈 P&amp;L'!M22</f>
        <v>19920</v>
      </c>
      <c r="N6" s="17">
        <f t="shared" si="0"/>
        <v>239040</v>
      </c>
    </row>
    <row r="7" spans="1:14" ht="15" customHeight="1" x14ac:dyDescent="0.25">
      <c r="A7" s="18" t="s">
        <v>168</v>
      </c>
      <c r="B7" s="19">
        <f>-('🏛 BALANCE SHEET'!B13-'⚙ SETUP'!$B$8)</f>
        <v>-795000</v>
      </c>
      <c r="C7" s="19">
        <f>-('🏛 BALANCE SHEET'!C13-'🏛 BALANCE SHEET'!B13)</f>
        <v>-31874.999999999767</v>
      </c>
      <c r="D7" s="19">
        <f>-('🏛 BALANCE SHEET'!D13-'🏛 BALANCE SHEET'!C13)</f>
        <v>-32671.874999999767</v>
      </c>
      <c r="E7" s="19">
        <f>-('🏛 BALANCE SHEET'!E13-'🏛 BALANCE SHEET'!D13)</f>
        <v>-33488.671875</v>
      </c>
      <c r="F7" s="19">
        <f>-('🏛 BALANCE SHEET'!F13-'🏛 BALANCE SHEET'!E13)</f>
        <v>-34325.888671874767</v>
      </c>
      <c r="G7" s="19">
        <f>-('🏛 BALANCE SHEET'!G13-'🏛 BALANCE SHEET'!F13)</f>
        <v>-35184.035888671642</v>
      </c>
      <c r="H7" s="19">
        <f>-('🏛 BALANCE SHEET'!H13-'🏛 BALANCE SHEET'!G13)</f>
        <v>-36063.636785888579</v>
      </c>
      <c r="I7" s="19">
        <f>-('🏛 BALANCE SHEET'!I13-'🏛 BALANCE SHEET'!H13)</f>
        <v>-36965.227705535712</v>
      </c>
      <c r="J7" s="19">
        <f>-('🏛 BALANCE SHEET'!J13-'🏛 BALANCE SHEET'!I13)</f>
        <v>-37889.358398174169</v>
      </c>
      <c r="K7" s="19">
        <f>-('🏛 BALANCE SHEET'!K13-'🏛 BALANCE SHEET'!J13)</f>
        <v>-38836.592358128401</v>
      </c>
      <c r="L7" s="19">
        <f>-('🏛 BALANCE SHEET'!L13-'🏛 BALANCE SHEET'!K13)</f>
        <v>-39807.507167081581</v>
      </c>
      <c r="M7" s="19">
        <f>-('🏛 BALANCE SHEET'!M13-'🏛 BALANCE SHEET'!L13)</f>
        <v>-40802.694846258964</v>
      </c>
      <c r="N7" s="20">
        <f t="shared" si="0"/>
        <v>-1192910.4886966133</v>
      </c>
    </row>
    <row r="8" spans="1:14" ht="15" customHeight="1" x14ac:dyDescent="0.25">
      <c r="A8" s="18" t="s">
        <v>169</v>
      </c>
      <c r="B8" s="19">
        <f>-('🏛 BALANCE SHEET'!B14-'⚙ SETUP'!$B$9)</f>
        <v>-303333.33333333337</v>
      </c>
      <c r="C8" s="19">
        <f>-('🏛 BALANCE SHEET'!C14-'🏛 BALANCE SHEET'!B14)</f>
        <v>-15583.333333333256</v>
      </c>
      <c r="D8" s="19">
        <f>-('🏛 BALANCE SHEET'!D14-'🏛 BALANCE SHEET'!C14)</f>
        <v>-15972.916666666511</v>
      </c>
      <c r="E8" s="19">
        <f>-('🏛 BALANCE SHEET'!E14-'🏛 BALANCE SHEET'!D14)</f>
        <v>-16372.239583333256</v>
      </c>
      <c r="F8" s="19">
        <f>-('🏛 BALANCE SHEET'!F14-'🏛 BALANCE SHEET'!E14)</f>
        <v>-16781.545572916628</v>
      </c>
      <c r="G8" s="19">
        <f>-('🏛 BALANCE SHEET'!G14-'🏛 BALANCE SHEET'!F14)</f>
        <v>-17201.084212239482</v>
      </c>
      <c r="H8" s="19">
        <f>-('🏛 BALANCE SHEET'!H14-'🏛 BALANCE SHEET'!G14)</f>
        <v>-17631.111317545525</v>
      </c>
      <c r="I8" s="19">
        <f>-('🏛 BALANCE SHEET'!I14-'🏛 BALANCE SHEET'!H14)</f>
        <v>-18071.889100484084</v>
      </c>
      <c r="J8" s="19">
        <f>-('🏛 BALANCE SHEET'!J14-'🏛 BALANCE SHEET'!I14)</f>
        <v>-18523.686327996315</v>
      </c>
      <c r="K8" s="19">
        <f>-('🏛 BALANCE SHEET'!K14-'🏛 BALANCE SHEET'!J14)</f>
        <v>-18986.778486196068</v>
      </c>
      <c r="L8" s="19">
        <f>-('🏛 BALANCE SHEET'!L14-'🏛 BALANCE SHEET'!K14)</f>
        <v>-19461.447948351037</v>
      </c>
      <c r="M8" s="19">
        <f>-('🏛 BALANCE SHEET'!M14-'🏛 BALANCE SHEET'!L14)</f>
        <v>-19947.984147059964</v>
      </c>
      <c r="N8" s="20">
        <f t="shared" si="0"/>
        <v>-497867.3500294555</v>
      </c>
    </row>
    <row r="9" spans="1:14" ht="21.75" customHeight="1" x14ac:dyDescent="0.25">
      <c r="A9" s="18" t="s">
        <v>170</v>
      </c>
      <c r="B9" s="19">
        <f>-('🏛 BALANCE SHEET'!B15-'⚙ SETUP'!$B$10)</f>
        <v>45000</v>
      </c>
      <c r="C9" s="19">
        <f>-('🏛 BALANCE SHEET'!C15-'🏛 BALANCE SHEET'!B15)</f>
        <v>0</v>
      </c>
      <c r="D9" s="19">
        <f>-('🏛 BALANCE SHEET'!D15-'🏛 BALANCE SHEET'!C15)</f>
        <v>0</v>
      </c>
      <c r="E9" s="19">
        <f>-('🏛 BALANCE SHEET'!E15-'🏛 BALANCE SHEET'!D15)</f>
        <v>0</v>
      </c>
      <c r="F9" s="19">
        <f>-('🏛 BALANCE SHEET'!F15-'🏛 BALANCE SHEET'!E15)</f>
        <v>0</v>
      </c>
      <c r="G9" s="19">
        <f>-('🏛 BALANCE SHEET'!G15-'🏛 BALANCE SHEET'!F15)</f>
        <v>0</v>
      </c>
      <c r="H9" s="19">
        <f>-('🏛 BALANCE SHEET'!H15-'🏛 BALANCE SHEET'!G15)</f>
        <v>0</v>
      </c>
      <c r="I9" s="19">
        <f>-('🏛 BALANCE SHEET'!I15-'🏛 BALANCE SHEET'!H15)</f>
        <v>0</v>
      </c>
      <c r="J9" s="19">
        <f>-('🏛 BALANCE SHEET'!J15-'🏛 BALANCE SHEET'!I15)</f>
        <v>0</v>
      </c>
      <c r="K9" s="19">
        <f>-('🏛 BALANCE SHEET'!K15-'🏛 BALANCE SHEET'!J15)</f>
        <v>0</v>
      </c>
      <c r="L9" s="19">
        <f>-('🏛 BALANCE SHEET'!L15-'🏛 BALANCE SHEET'!K15)</f>
        <v>0</v>
      </c>
      <c r="M9" s="19">
        <f>-('🏛 BALANCE SHEET'!M15-'🏛 BALANCE SHEET'!L15)</f>
        <v>0</v>
      </c>
      <c r="N9" s="20">
        <f t="shared" si="0"/>
        <v>45000</v>
      </c>
    </row>
    <row r="10" spans="1:14" ht="15" customHeight="1" x14ac:dyDescent="0.25">
      <c r="A10" s="21" t="s">
        <v>171</v>
      </c>
      <c r="B10" s="22">
        <f>+('🏛 BALANCE SHEET'!B30-'⚙ SETUP'!$B$14)</f>
        <v>187500.00000000006</v>
      </c>
      <c r="C10" s="22">
        <f>+('🏛 BALANCE SHEET'!C30-'🏛 BALANCE SHEET'!B30)</f>
        <v>11687.499999999942</v>
      </c>
      <c r="D10" s="22">
        <f>+('🏛 BALANCE SHEET'!D30-'🏛 BALANCE SHEET'!C30)</f>
        <v>11979.687499999884</v>
      </c>
      <c r="E10" s="22">
        <f>+('🏛 BALANCE SHEET'!E30-'🏛 BALANCE SHEET'!D30)</f>
        <v>12279.179687499942</v>
      </c>
      <c r="F10" s="22">
        <f>+('🏛 BALANCE SHEET'!F30-'🏛 BALANCE SHEET'!E30)</f>
        <v>12586.159179687442</v>
      </c>
      <c r="G10" s="22">
        <f>+('🏛 BALANCE SHEET'!G30-'🏛 BALANCE SHEET'!F30)</f>
        <v>12900.813159179641</v>
      </c>
      <c r="H10" s="22">
        <f>+('🏛 BALANCE SHEET'!H30-'🏛 BALANCE SHEET'!G30)</f>
        <v>13223.333488159114</v>
      </c>
      <c r="I10" s="22">
        <f>+('🏛 BALANCE SHEET'!I30-'🏛 BALANCE SHEET'!H30)</f>
        <v>13553.916825363063</v>
      </c>
      <c r="J10" s="22">
        <f>+('🏛 BALANCE SHEET'!J30-'🏛 BALANCE SHEET'!I30)</f>
        <v>13892.764745997265</v>
      </c>
      <c r="K10" s="22">
        <f>+('🏛 BALANCE SHEET'!K30-'🏛 BALANCE SHEET'!J30)</f>
        <v>14240.08386464708</v>
      </c>
      <c r="L10" s="22">
        <f>+('🏛 BALANCE SHEET'!L30-'🏛 BALANCE SHEET'!K30)</f>
        <v>14596.085961263278</v>
      </c>
      <c r="M10" s="22">
        <f>+('🏛 BALANCE SHEET'!M30-'🏛 BALANCE SHEET'!L30)</f>
        <v>14960.988110294915</v>
      </c>
      <c r="N10" s="23">
        <f t="shared" si="0"/>
        <v>333400.51252209162</v>
      </c>
    </row>
    <row r="11" spans="1:14" ht="21.75" customHeight="1" x14ac:dyDescent="0.25">
      <c r="A11" s="21" t="s">
        <v>172</v>
      </c>
      <c r="B11" s="22">
        <f>+('🏛 BALANCE SHEET'!B31-'⚙ SETUP'!$B$15)</f>
        <v>23849.999999999985</v>
      </c>
      <c r="C11" s="22">
        <f>+('🏛 BALANCE SHEET'!C31-'🏛 BALANCE SHEET'!B31)</f>
        <v>70571.249999999956</v>
      </c>
      <c r="D11" s="22">
        <f>+('🏛 BALANCE SHEET'!D31-'🏛 BALANCE SHEET'!C31)</f>
        <v>72335.531249999971</v>
      </c>
      <c r="E11" s="22">
        <f>+('🏛 BALANCE SHEET'!E31-'🏛 BALANCE SHEET'!D31)</f>
        <v>74143.919531249994</v>
      </c>
      <c r="F11" s="22">
        <f>+('🏛 BALANCE SHEET'!F31-'🏛 BALANCE SHEET'!E31)</f>
        <v>75997.517519531189</v>
      </c>
      <c r="G11" s="22">
        <f>+('🏛 BALANCE SHEET'!G31-'🏛 BALANCE SHEET'!F31)</f>
        <v>77897.455457519449</v>
      </c>
      <c r="H11" s="22">
        <f>+('🏛 BALANCE SHEET'!H31-'🏛 BALANCE SHEET'!G31)</f>
        <v>79844.891843957419</v>
      </c>
      <c r="I11" s="22">
        <f>+('🏛 BALANCE SHEET'!I31-'🏛 BALANCE SHEET'!H31)</f>
        <v>81841.01414005633</v>
      </c>
      <c r="J11" s="22">
        <f>+('🏛 BALANCE SHEET'!J31-'🏛 BALANCE SHEET'!I31)</f>
        <v>83887.039493557764</v>
      </c>
      <c r="K11" s="22">
        <f>+('🏛 BALANCE SHEET'!K31-'🏛 BALANCE SHEET'!J31)</f>
        <v>85984.215480896761</v>
      </c>
      <c r="L11" s="22">
        <f>+('🏛 BALANCE SHEET'!L31-'🏛 BALANCE SHEET'!K31)</f>
        <v>88133.82086791913</v>
      </c>
      <c r="M11" s="22">
        <f>+('🏛 BALANCE SHEET'!M31-'🏛 BALANCE SHEET'!L31)</f>
        <v>90337.166389617021</v>
      </c>
      <c r="N11" s="23">
        <f t="shared" si="0"/>
        <v>904823.82197430497</v>
      </c>
    </row>
    <row r="12" spans="1:14" ht="15" customHeight="1" x14ac:dyDescent="0.25">
      <c r="A12" s="24" t="s">
        <v>173</v>
      </c>
      <c r="B12" s="25">
        <f t="shared" ref="B12:N12" si="1">B5+B6+B7+B8+B9+B10+B11</f>
        <v>-779163.29433333338</v>
      </c>
      <c r="C12" s="25">
        <f t="shared" si="1"/>
        <v>102373.40783333346</v>
      </c>
      <c r="D12" s="25">
        <f t="shared" si="1"/>
        <v>108130.51254541683</v>
      </c>
      <c r="E12" s="25">
        <f t="shared" si="1"/>
        <v>114046.99714558529</v>
      </c>
      <c r="F12" s="25">
        <f t="shared" si="1"/>
        <v>120126.97938830573</v>
      </c>
      <c r="G12" s="25">
        <f t="shared" si="1"/>
        <v>126374.6792124557</v>
      </c>
      <c r="H12" s="25">
        <f t="shared" si="1"/>
        <v>132794.42122222192</v>
      </c>
      <c r="I12" s="25">
        <f t="shared" si="1"/>
        <v>139390.63722723199</v>
      </c>
      <c r="J12" s="25">
        <f t="shared" si="1"/>
        <v>146167.86884330821</v>
      </c>
      <c r="K12" s="25">
        <f t="shared" si="1"/>
        <v>153130.77015527285</v>
      </c>
      <c r="L12" s="25">
        <f t="shared" si="1"/>
        <v>160284.11044324972</v>
      </c>
      <c r="M12" s="25">
        <f t="shared" si="1"/>
        <v>167632.77697395964</v>
      </c>
      <c r="N12" s="25">
        <f t="shared" si="1"/>
        <v>691289.86665700795</v>
      </c>
    </row>
    <row r="14" spans="1:14" ht="21.75" customHeight="1" x14ac:dyDescent="0.25">
      <c r="A14" s="40" t="s">
        <v>174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5" customHeight="1" x14ac:dyDescent="0.25">
      <c r="A15" s="18" t="s">
        <v>175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14">
        <f>SUM(B15:M15)</f>
        <v>0</v>
      </c>
    </row>
    <row r="16" spans="1:14" ht="15" customHeight="1" x14ac:dyDescent="0.25">
      <c r="A16" s="26" t="s">
        <v>176</v>
      </c>
      <c r="B16" s="27">
        <f t="shared" ref="B16:N16" si="2">B15</f>
        <v>0</v>
      </c>
      <c r="C16" s="27">
        <f t="shared" si="2"/>
        <v>0</v>
      </c>
      <c r="D16" s="27">
        <f t="shared" si="2"/>
        <v>0</v>
      </c>
      <c r="E16" s="27">
        <f t="shared" si="2"/>
        <v>0</v>
      </c>
      <c r="F16" s="27">
        <f t="shared" si="2"/>
        <v>0</v>
      </c>
      <c r="G16" s="27">
        <f t="shared" si="2"/>
        <v>0</v>
      </c>
      <c r="H16" s="27">
        <f t="shared" si="2"/>
        <v>0</v>
      </c>
      <c r="I16" s="27">
        <f t="shared" si="2"/>
        <v>0</v>
      </c>
      <c r="J16" s="27">
        <f t="shared" si="2"/>
        <v>0</v>
      </c>
      <c r="K16" s="27">
        <f t="shared" si="2"/>
        <v>0</v>
      </c>
      <c r="L16" s="27">
        <f t="shared" si="2"/>
        <v>0</v>
      </c>
      <c r="M16" s="27">
        <f t="shared" si="2"/>
        <v>0</v>
      </c>
      <c r="N16" s="27">
        <f t="shared" si="2"/>
        <v>0</v>
      </c>
    </row>
    <row r="18" spans="1:14" ht="21.75" customHeight="1" x14ac:dyDescent="0.25">
      <c r="A18" s="43" t="s">
        <v>177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1:14" ht="15" customHeight="1" x14ac:dyDescent="0.25">
      <c r="A19" s="18" t="s">
        <v>178</v>
      </c>
      <c r="B19" s="19">
        <f>-MIN('⚙ SETUP'!$B$26,MAX(0,'⚙ SETUP'!$B$13-0*'⚙ SETUP'!$B$26))</f>
        <v>-25000</v>
      </c>
      <c r="C19" s="19">
        <f>-MIN('⚙ SETUP'!$B$26,MAX(0,'⚙ SETUP'!$B$13-1*'⚙ SETUP'!$B$26))</f>
        <v>-25000</v>
      </c>
      <c r="D19" s="19">
        <f>-MIN('⚙ SETUP'!$B$26,MAX(0,'⚙ SETUP'!$B$13-2*'⚙ SETUP'!$B$26))</f>
        <v>-25000</v>
      </c>
      <c r="E19" s="19">
        <f>-MIN('⚙ SETUP'!$B$26,MAX(0,'⚙ SETUP'!$B$13-3*'⚙ SETUP'!$B$26))</f>
        <v>-25000</v>
      </c>
      <c r="F19" s="19">
        <f>-MIN('⚙ SETUP'!$B$26,MAX(0,'⚙ SETUP'!$B$13-4*'⚙ SETUP'!$B$26))</f>
        <v>-25000</v>
      </c>
      <c r="G19" s="19">
        <f>-MIN('⚙ SETUP'!$B$26,MAX(0,'⚙ SETUP'!$B$13-5*'⚙ SETUP'!$B$26))</f>
        <v>-25000</v>
      </c>
      <c r="H19" s="19">
        <f>-MIN('⚙ SETUP'!$B$26,MAX(0,'⚙ SETUP'!$B$13-6*'⚙ SETUP'!$B$26))</f>
        <v>-25000</v>
      </c>
      <c r="I19" s="19">
        <f>-MIN('⚙ SETUP'!$B$26,MAX(0,'⚙ SETUP'!$B$13-7*'⚙ SETUP'!$B$26))</f>
        <v>-25000</v>
      </c>
      <c r="J19" s="19">
        <f>-MIN('⚙ SETUP'!$B$26,MAX(0,'⚙ SETUP'!$B$13-8*'⚙ SETUP'!$B$26))</f>
        <v>-25000</v>
      </c>
      <c r="K19" s="19">
        <f>-MIN('⚙ SETUP'!$B$26,MAX(0,'⚙ SETUP'!$B$13-9*'⚙ SETUP'!$B$26))</f>
        <v>-25000</v>
      </c>
      <c r="L19" s="19">
        <f>-MIN('⚙ SETUP'!$B$26,MAX(0,'⚙ SETUP'!$B$13-10*'⚙ SETUP'!$B$26))</f>
        <v>-25000</v>
      </c>
      <c r="M19" s="19">
        <f>-MIN('⚙ SETUP'!$B$26,MAX(0,'⚙ SETUP'!$B$13-11*'⚙ SETUP'!$B$26))</f>
        <v>-25000</v>
      </c>
      <c r="N19" s="20">
        <f>SUM(B19:M19)</f>
        <v>-300000</v>
      </c>
    </row>
    <row r="20" spans="1:14" ht="15" customHeight="1" x14ac:dyDescent="0.25">
      <c r="A20" s="28" t="s">
        <v>179</v>
      </c>
      <c r="B20" s="29">
        <f t="shared" ref="B20:N20" si="3">B19</f>
        <v>-25000</v>
      </c>
      <c r="C20" s="29">
        <f t="shared" si="3"/>
        <v>-25000</v>
      </c>
      <c r="D20" s="29">
        <f t="shared" si="3"/>
        <v>-25000</v>
      </c>
      <c r="E20" s="29">
        <f t="shared" si="3"/>
        <v>-25000</v>
      </c>
      <c r="F20" s="29">
        <f t="shared" si="3"/>
        <v>-25000</v>
      </c>
      <c r="G20" s="29">
        <f t="shared" si="3"/>
        <v>-25000</v>
      </c>
      <c r="H20" s="29">
        <f t="shared" si="3"/>
        <v>-25000</v>
      </c>
      <c r="I20" s="29">
        <f t="shared" si="3"/>
        <v>-25000</v>
      </c>
      <c r="J20" s="29">
        <f t="shared" si="3"/>
        <v>-25000</v>
      </c>
      <c r="K20" s="29">
        <f t="shared" si="3"/>
        <v>-25000</v>
      </c>
      <c r="L20" s="29">
        <f t="shared" si="3"/>
        <v>-25000</v>
      </c>
      <c r="M20" s="29">
        <f t="shared" si="3"/>
        <v>-25000</v>
      </c>
      <c r="N20" s="29">
        <f t="shared" si="3"/>
        <v>-300000</v>
      </c>
    </row>
    <row r="22" spans="1:14" ht="15" customHeight="1" x14ac:dyDescent="0.25">
      <c r="A22" s="30" t="s">
        <v>180</v>
      </c>
      <c r="B22" s="31">
        <f t="shared" ref="B22:M22" si="4">B12+B16+B20</f>
        <v>-804163.29433333338</v>
      </c>
      <c r="C22" s="31">
        <f t="shared" si="4"/>
        <v>77373.407833333462</v>
      </c>
      <c r="D22" s="31">
        <f t="shared" si="4"/>
        <v>83130.51254541683</v>
      </c>
      <c r="E22" s="31">
        <f t="shared" si="4"/>
        <v>89046.997145585294</v>
      </c>
      <c r="F22" s="31">
        <f t="shared" si="4"/>
        <v>95126.979388305728</v>
      </c>
      <c r="G22" s="31">
        <f t="shared" si="4"/>
        <v>101374.6792124557</v>
      </c>
      <c r="H22" s="31">
        <f t="shared" si="4"/>
        <v>107794.42122222192</v>
      </c>
      <c r="I22" s="31">
        <f t="shared" si="4"/>
        <v>114390.63722723199</v>
      </c>
      <c r="J22" s="31">
        <f t="shared" si="4"/>
        <v>121167.86884330821</v>
      </c>
      <c r="K22" s="31">
        <f t="shared" si="4"/>
        <v>128130.77015527285</v>
      </c>
      <c r="L22" s="31">
        <f t="shared" si="4"/>
        <v>135284.11044324972</v>
      </c>
      <c r="M22" s="31">
        <f t="shared" si="4"/>
        <v>142632.77697395964</v>
      </c>
      <c r="N22" s="31">
        <f>SUM(B22:M22)</f>
        <v>391289.86665700795</v>
      </c>
    </row>
    <row r="23" spans="1:14" ht="15" customHeight="1" x14ac:dyDescent="0.25">
      <c r="A23" s="2" t="s">
        <v>181</v>
      </c>
      <c r="B23" s="5">
        <f>'⚙ SETUP'!$B$7</f>
        <v>920000</v>
      </c>
      <c r="C23" s="5">
        <f t="shared" ref="C23:M23" si="5">B24</f>
        <v>115836.70566666662</v>
      </c>
      <c r="D23" s="5">
        <f t="shared" si="5"/>
        <v>193210.11350000009</v>
      </c>
      <c r="E23" s="5">
        <f t="shared" si="5"/>
        <v>276340.62604541692</v>
      </c>
      <c r="F23" s="5">
        <f t="shared" si="5"/>
        <v>365387.62319100223</v>
      </c>
      <c r="G23" s="5">
        <f t="shared" si="5"/>
        <v>460514.60257930798</v>
      </c>
      <c r="H23" s="5">
        <f t="shared" si="5"/>
        <v>561889.28179176361</v>
      </c>
      <c r="I23" s="5">
        <f t="shared" si="5"/>
        <v>669683.70301398553</v>
      </c>
      <c r="J23" s="5">
        <f t="shared" si="5"/>
        <v>784074.34024121752</v>
      </c>
      <c r="K23" s="5">
        <f t="shared" si="5"/>
        <v>905242.2090845257</v>
      </c>
      <c r="L23" s="5">
        <f t="shared" si="5"/>
        <v>1033372.9792397986</v>
      </c>
      <c r="M23" s="5">
        <f t="shared" si="5"/>
        <v>1168657.0896830484</v>
      </c>
    </row>
    <row r="24" spans="1:14" ht="15" customHeight="1" x14ac:dyDescent="0.25">
      <c r="A24" s="32" t="s">
        <v>182</v>
      </c>
      <c r="B24" s="23">
        <f t="shared" ref="B24:M24" si="6">B23+B22</f>
        <v>115836.70566666662</v>
      </c>
      <c r="C24" s="23">
        <f t="shared" si="6"/>
        <v>193210.11350000009</v>
      </c>
      <c r="D24" s="23">
        <f t="shared" si="6"/>
        <v>276340.62604541692</v>
      </c>
      <c r="E24" s="23">
        <f t="shared" si="6"/>
        <v>365387.62319100223</v>
      </c>
      <c r="F24" s="23">
        <f t="shared" si="6"/>
        <v>460514.60257930798</v>
      </c>
      <c r="G24" s="23">
        <f t="shared" si="6"/>
        <v>561889.28179176361</v>
      </c>
      <c r="H24" s="23">
        <f t="shared" si="6"/>
        <v>669683.70301398553</v>
      </c>
      <c r="I24" s="23">
        <f t="shared" si="6"/>
        <v>784074.34024121752</v>
      </c>
      <c r="J24" s="23">
        <f t="shared" si="6"/>
        <v>905242.2090845257</v>
      </c>
      <c r="K24" s="23">
        <f t="shared" si="6"/>
        <v>1033372.9792397986</v>
      </c>
      <c r="L24" s="23">
        <f t="shared" si="6"/>
        <v>1168657.0896830484</v>
      </c>
      <c r="M24" s="23">
        <f t="shared" si="6"/>
        <v>1311289.866657008</v>
      </c>
      <c r="N24" s="33">
        <f>M24</f>
        <v>1311289.866657008</v>
      </c>
    </row>
  </sheetData>
  <mergeCells count="5">
    <mergeCell ref="A1:N1"/>
    <mergeCell ref="A2:N2"/>
    <mergeCell ref="A4:N4"/>
    <mergeCell ref="A14:N14"/>
    <mergeCell ref="A18:N18"/>
  </mergeCells>
  <pageMargins left="0.75" right="0.75" top="1" bottom="1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4AC0D"/>
  </sheetPr>
  <dimension ref="A1:N1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defaultColWidth="8.7109375" defaultRowHeight="15" x14ac:dyDescent="0.25"/>
  <cols>
    <col min="1" max="1" width="30" style="1" customWidth="1"/>
    <col min="2" max="13" width="10.5703125" style="1" customWidth="1"/>
    <col min="14" max="14" width="12" style="1" customWidth="1"/>
    <col min="15" max="16384" width="8.7109375" style="1"/>
  </cols>
  <sheetData>
    <row r="1" spans="1:14" ht="30" customHeight="1" x14ac:dyDescent="0.25">
      <c r="A1" s="37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5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8" customHeight="1" x14ac:dyDescent="0.25">
      <c r="A3" s="6" t="s">
        <v>185</v>
      </c>
      <c r="B3" s="7" t="s">
        <v>95</v>
      </c>
      <c r="C3" s="7" t="s">
        <v>96</v>
      </c>
      <c r="D3" s="7" t="s">
        <v>97</v>
      </c>
      <c r="E3" s="7" t="s">
        <v>98</v>
      </c>
      <c r="F3" s="7" t="s">
        <v>99</v>
      </c>
      <c r="G3" s="7" t="s">
        <v>100</v>
      </c>
      <c r="H3" s="7" t="s">
        <v>101</v>
      </c>
      <c r="I3" s="7" t="s">
        <v>102</v>
      </c>
      <c r="J3" s="7" t="s">
        <v>103</v>
      </c>
      <c r="K3" s="7" t="s">
        <v>104</v>
      </c>
      <c r="L3" s="7" t="s">
        <v>105</v>
      </c>
      <c r="M3" s="7" t="s">
        <v>106</v>
      </c>
      <c r="N3" s="8" t="s">
        <v>133</v>
      </c>
    </row>
    <row r="4" spans="1:14" ht="21.75" customHeight="1" x14ac:dyDescent="0.25">
      <c r="A4" s="39" t="s">
        <v>186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" customHeight="1" x14ac:dyDescent="0.25">
      <c r="A5" s="2" t="s">
        <v>187</v>
      </c>
      <c r="B5" s="9">
        <f>IFERROR('🏛 BALANCE SHEET'!B16/'🏛 BALANCE SHEET'!B33,0)</f>
        <v>2.4374297077509528</v>
      </c>
      <c r="C5" s="9">
        <f>IFERROR('🏛 BALANCE SHEET'!C16/'🏛 BALANCE SHEET'!C33,0)</f>
        <v>2.3541505407763976</v>
      </c>
      <c r="D5" s="9">
        <f>IFERROR('🏛 BALANCE SHEET'!D16/'🏛 BALANCE SHEET'!D33,0)</f>
        <v>2.2869596825600351</v>
      </c>
      <c r="E5" s="9">
        <f>IFERROR('🏛 BALANCE SHEET'!E16/'🏛 BALANCE SHEET'!E33,0)</f>
        <v>2.2325395273621442</v>
      </c>
      <c r="F5" s="9">
        <f>IFERROR('🏛 BALANCE SHEET'!F16/'🏛 BALANCE SHEET'!F33,0)</f>
        <v>2.1884169230791071</v>
      </c>
      <c r="G5" s="9">
        <f>IFERROR('🏛 BALANCE SHEET'!G16/'🏛 BALANCE SHEET'!G33,0)</f>
        <v>2.1527105336661734</v>
      </c>
      <c r="H5" s="9">
        <f>IFERROR('🏛 BALANCE SHEET'!H16/'🏛 BALANCE SHEET'!H33,0)</f>
        <v>2.1239637818706365</v>
      </c>
      <c r="I5" s="9">
        <f>IFERROR('🏛 BALANCE SHEET'!I16/'🏛 BALANCE SHEET'!I33,0)</f>
        <v>2.1010313579611499</v>
      </c>
      <c r="J5" s="9">
        <f>IFERROR('🏛 BALANCE SHEET'!J16/'🏛 BALANCE SHEET'!J33,0)</f>
        <v>2.0830002727472103</v>
      </c>
      <c r="K5" s="9">
        <f>IFERROR('🏛 BALANCE SHEET'!K16/'🏛 BALANCE SHEET'!K33,0)</f>
        <v>2.0691337801924043</v>
      </c>
      <c r="L5" s="9">
        <f>IFERROR('🏛 BALANCE SHEET'!L16/'🏛 BALANCE SHEET'!L33,0)</f>
        <v>2.0588307965174111</v>
      </c>
      <c r="M5" s="9">
        <f>IFERROR('🏛 BALANCE SHEET'!M16/'🏛 BALANCE SHEET'!M33,0)</f>
        <v>2.0515960397294628</v>
      </c>
      <c r="N5" s="10">
        <f>M5</f>
        <v>2.0515960397294628</v>
      </c>
    </row>
    <row r="6" spans="1:14" ht="15" customHeight="1" x14ac:dyDescent="0.25">
      <c r="A6" s="2" t="s">
        <v>188</v>
      </c>
      <c r="B6" s="9">
        <f>IFERROR(('🏛 BALANCE SHEET'!B16-'🏛 BALANCE SHEET'!B14)/'🏛 BALANCE SHEET'!B33,0)</f>
        <v>1.68310849599645</v>
      </c>
      <c r="C6" s="9">
        <f>IFERROR(('🏛 BALANCE SHEET'!C16-'🏛 BALANCE SHEET'!C14)/'🏛 BALANCE SHEET'!C33,0)</f>
        <v>1.6509692576700368</v>
      </c>
      <c r="D6" s="9">
        <f>IFERROR(('🏛 BALANCE SHEET'!D16-'🏛 BALANCE SHEET'!D14)/'🏛 BALANCE SHEET'!D33,0)</f>
        <v>1.6274030559254913</v>
      </c>
      <c r="E6" s="9">
        <f>IFERROR(('🏛 BALANCE SHEET'!E16-'🏛 BALANCE SHEET'!E14)/'🏛 BALANCE SHEET'!E33,0)</f>
        <v>1.6106248135158083</v>
      </c>
      <c r="F6" s="9">
        <f>IFERROR(('🏛 BALANCE SHEET'!F16-'🏛 BALANCE SHEET'!F14)/'🏛 BALANCE SHEET'!F33,0)</f>
        <v>1.5993037657872444</v>
      </c>
      <c r="G6" s="9">
        <f>IFERROR(('🏛 BALANCE SHEET'!G16-'🏛 BALANCE SHEET'!G14)/'🏛 BALANCE SHEET'!G33,0)</f>
        <v>1.5924275456213683</v>
      </c>
      <c r="H6" s="9">
        <f>IFERROR(('🏛 BALANCE SHEET'!H16-'🏛 BALANCE SHEET'!H14)/'🏛 BALANCE SHEET'!H33,0)</f>
        <v>1.5892123092614419</v>
      </c>
      <c r="I6" s="9">
        <f>IFERROR(('🏛 BALANCE SHEET'!I16-'🏛 BALANCE SHEET'!I14)/'🏛 BALANCE SHEET'!I33,0)</f>
        <v>1.5890416798151163</v>
      </c>
      <c r="J6" s="9">
        <f>IFERROR(('🏛 BALANCE SHEET'!J16-'🏛 BALANCE SHEET'!J14)/'🏛 BALANCE SHEET'!J33,0)</f>
        <v>1.591424275048583</v>
      </c>
      <c r="K6" s="9">
        <f>IFERROR(('🏛 BALANCE SHEET'!K16-'🏛 BALANCE SHEET'!K14)/'🏛 BALANCE SHEET'!K33,0)</f>
        <v>1.5959635386653124</v>
      </c>
      <c r="L6" s="9">
        <f>IFERROR(('🏛 BALANCE SHEET'!L16-'🏛 BALANCE SHEET'!L14)/'🏛 BALANCE SHEET'!L33,0)</f>
        <v>1.6023359084529731</v>
      </c>
      <c r="M6" s="9">
        <f>IFERROR(('🏛 BALANCE SHEET'!M16-'🏛 BALANCE SHEET'!M14)/'🏛 BALANCE SHEET'!M33,0)</f>
        <v>1.6102747518500296</v>
      </c>
      <c r="N6" s="10">
        <f>M6</f>
        <v>1.6102747518500296</v>
      </c>
    </row>
    <row r="8" spans="1:14" ht="21.75" customHeight="1" x14ac:dyDescent="0.25">
      <c r="A8" s="40" t="s">
        <v>189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5" customHeight="1" x14ac:dyDescent="0.25">
      <c r="A9" s="2" t="s">
        <v>190</v>
      </c>
      <c r="B9" s="9">
        <f>IFERROR(('🏛 BALANCE SHEET'!B27+'🏛 BALANCE SHEET'!B32)/'🏛 BALANCE SHEET'!B23,0)</f>
        <v>0.36566508660581792</v>
      </c>
      <c r="C9" s="9">
        <f>IFERROR(('🏛 BALANCE SHEET'!C27+'🏛 BALANCE SHEET'!C32)/'🏛 BALANCE SHEET'!C23,0)</f>
        <v>0.34828171709178274</v>
      </c>
      <c r="D9" s="9">
        <f>IFERROR(('🏛 BALANCE SHEET'!D27+'🏛 BALANCE SHEET'!D32)/'🏛 BALANCE SHEET'!D23,0)</f>
        <v>0.33091423454191266</v>
      </c>
      <c r="E9" s="9">
        <f>IFERROR(('🏛 BALANCE SHEET'!E27+'🏛 BALANCE SHEET'!E32)/'🏛 BALANCE SHEET'!E23,0)</f>
        <v>0.31364456682117992</v>
      </c>
      <c r="F9" s="9">
        <f>IFERROR(('🏛 BALANCE SHEET'!F27+'🏛 BALANCE SHEET'!F32)/'🏛 BALANCE SHEET'!F23,0)</f>
        <v>0.29654984399541284</v>
      </c>
      <c r="G9" s="9">
        <f>IFERROR(('🏛 BALANCE SHEET'!G27+'🏛 BALANCE SHEET'!G32)/'🏛 BALANCE SHEET'!G23,0)</f>
        <v>0.27970148246161847</v>
      </c>
      <c r="H9" s="9">
        <f>IFERROR(('🏛 BALANCE SHEET'!H27+'🏛 BALANCE SHEET'!H32)/'🏛 BALANCE SHEET'!H23,0)</f>
        <v>0.2631644727369693</v>
      </c>
      <c r="I9" s="9">
        <f>IFERROR(('🏛 BALANCE SHEET'!I27+'🏛 BALANCE SHEET'!I32)/'🏛 BALANCE SHEET'!I23,0)</f>
        <v>0.24699687441427601</v>
      </c>
      <c r="J9" s="9">
        <f>IFERROR(('🏛 BALANCE SHEET'!J27+'🏛 BALANCE SHEET'!J32)/'🏛 BALANCE SHEET'!J23,0)</f>
        <v>0.23124951276086714</v>
      </c>
      <c r="K9" s="9">
        <f>IFERROR(('🏛 BALANCE SHEET'!K27+'🏛 BALANCE SHEET'!K32)/'🏛 BALANCE SHEET'!K23,0)</f>
        <v>0.21596586386773303</v>
      </c>
      <c r="L9" s="9">
        <f>IFERROR(('🏛 BALANCE SHEET'!L27+'🏛 BALANCE SHEET'!L32)/'🏛 BALANCE SHEET'!L23,0)</f>
        <v>0.20118210941669934</v>
      </c>
      <c r="M9" s="9">
        <f>IFERROR(('🏛 BALANCE SHEET'!M27+'🏛 BALANCE SHEET'!M32)/'🏛 BALANCE SHEET'!M23,0)</f>
        <v>0.18692733811736736</v>
      </c>
      <c r="N9" s="10">
        <f>M9</f>
        <v>0.18692733811736736</v>
      </c>
    </row>
    <row r="10" spans="1:14" ht="15" customHeight="1" x14ac:dyDescent="0.25">
      <c r="A10" s="2" t="s">
        <v>191</v>
      </c>
      <c r="B10" s="9">
        <f>IFERROR('📈 P&amp;L'!B23/'📈 P&amp;L'!B24,0)</f>
        <v>7.9490909090909021</v>
      </c>
      <c r="C10" s="9">
        <f>IFERROR('📈 P&amp;L'!C23/'📈 P&amp;L'!C24,0)</f>
        <v>8.9395324675324535</v>
      </c>
      <c r="D10" s="9">
        <f>IFERROR('📈 P&amp;L'!D23/'📈 P&amp;L'!D24,0)</f>
        <v>10.01124224598929</v>
      </c>
      <c r="E10" s="9">
        <f>IFERROR('📈 P&amp;L'!E23/'📈 P&amp;L'!E24,0)</f>
        <v>11.172224537190058</v>
      </c>
      <c r="F10" s="9">
        <f>IFERROR('📈 P&amp;L'!F23/'📈 P&amp;L'!F24,0)</f>
        <v>12.431499933281223</v>
      </c>
      <c r="G10" s="9">
        <f>IFERROR('📈 P&amp;L'!G23/'📈 P&amp;L'!G24,0)</f>
        <v>13.799269638512204</v>
      </c>
      <c r="H10" s="9">
        <f>IFERROR('📈 P&amp;L'!H23/'📈 P&amp;L'!H24,0)</f>
        <v>15.287112654096337</v>
      </c>
      <c r="I10" s="9">
        <f>IFERROR('📈 P&amp;L'!I23/'📈 P&amp;L'!I24,0)</f>
        <v>16.908223770142126</v>
      </c>
      <c r="J10" s="9">
        <f>IFERROR('📈 P&amp;L'!J23/'📈 P&amp;L'!J24,0)</f>
        <v>18.677702566667719</v>
      </c>
      <c r="K10" s="9">
        <f>IFERROR('📈 P&amp;L'!K23/'📈 P&amp;L'!K24,0)</f>
        <v>20.612906648536082</v>
      </c>
      <c r="L10" s="9">
        <f>IFERROR('📈 P&amp;L'!L23/'📈 P&amp;L'!L24,0)</f>
        <v>22.733886408334399</v>
      </c>
      <c r="M10" s="9">
        <f>IFERROR('📈 P&amp;L'!M23/'📈 P&amp;L'!M24,0)</f>
        <v>25.06392414531652</v>
      </c>
      <c r="N10" s="10">
        <f>IFERROR('📈 P&amp;L'!$N$23/'📈 P&amp;L'!$N$24,0)</f>
        <v>14.69906306673356</v>
      </c>
    </row>
    <row r="12" spans="1:14" ht="21.75" customHeight="1" x14ac:dyDescent="0.25">
      <c r="A12" s="43" t="s">
        <v>192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 ht="15" customHeight="1" x14ac:dyDescent="0.25">
      <c r="A13" s="2" t="s">
        <v>193</v>
      </c>
      <c r="B13" s="11">
        <f>IFERROR('📈 P&amp;L'!B9/'📈 P&amp;L'!B6,0)</f>
        <v>0.44999999999999996</v>
      </c>
      <c r="C13" s="11">
        <f>IFERROR('📈 P&amp;L'!C9/'📈 P&amp;L'!C6,0)</f>
        <v>0.4499999999999999</v>
      </c>
      <c r="D13" s="11">
        <f>IFERROR('📈 P&amp;L'!D9/'📈 P&amp;L'!D6,0)</f>
        <v>0.45</v>
      </c>
      <c r="E13" s="11">
        <f>IFERROR('📈 P&amp;L'!E9/'📈 P&amp;L'!E6,0)</f>
        <v>0.44999999999999996</v>
      </c>
      <c r="F13" s="11">
        <f>IFERROR('📈 P&amp;L'!F9/'📈 P&amp;L'!F6,0)</f>
        <v>0.44999999999999996</v>
      </c>
      <c r="G13" s="11">
        <f>IFERROR('📈 P&amp;L'!G9/'📈 P&amp;L'!G6,0)</f>
        <v>0.44999999999999996</v>
      </c>
      <c r="H13" s="11">
        <f>IFERROR('📈 P&amp;L'!H9/'📈 P&amp;L'!H6,0)</f>
        <v>0.44999999999999996</v>
      </c>
      <c r="I13" s="11">
        <f>IFERROR('📈 P&amp;L'!I9/'📈 P&amp;L'!I6,0)</f>
        <v>0.45</v>
      </c>
      <c r="J13" s="11">
        <f>IFERROR('📈 P&amp;L'!J9/'📈 P&amp;L'!J6,0)</f>
        <v>0.44999999999999996</v>
      </c>
      <c r="K13" s="11">
        <f>IFERROR('📈 P&amp;L'!K9/'📈 P&amp;L'!K6,0)</f>
        <v>0.44999999999999996</v>
      </c>
      <c r="L13" s="11">
        <f>IFERROR('📈 P&amp;L'!L9/'📈 P&amp;L'!L6,0)</f>
        <v>0.44999999999999996</v>
      </c>
      <c r="M13" s="11">
        <f>IFERROR('📈 P&amp;L'!M9/'📈 P&amp;L'!M6,0)</f>
        <v>0.4499999999999999</v>
      </c>
      <c r="N13" s="12">
        <f>IFERROR('📈 P&amp;L'!$N$9/'📈 P&amp;L'!$N$6,0)</f>
        <v>0.4499999999999999</v>
      </c>
    </row>
    <row r="14" spans="1:14" ht="15" customHeight="1" x14ac:dyDescent="0.25">
      <c r="A14" s="2" t="s">
        <v>194</v>
      </c>
      <c r="B14" s="11">
        <f>IFERROR('📈 P&amp;L'!B27/'📈 P&amp;L'!B6,0)</f>
        <v>5.0470634117647011E-2</v>
      </c>
      <c r="C14" s="11">
        <f>IFERROR('📈 P&amp;L'!C27/'📈 P&amp;L'!C6,0)</f>
        <v>5.4694968340506842E-2</v>
      </c>
      <c r="D14" s="11">
        <f>IFERROR('📈 P&amp;L'!D27/'📈 P&amp;L'!D6,0)</f>
        <v>5.8833423200009255E-2</v>
      </c>
      <c r="E14" s="11">
        <f>IFERROR('📈 P&amp;L'!E27/'📈 P&amp;L'!E6,0)</f>
        <v>6.2887821276206138E-2</v>
      </c>
      <c r="F14" s="11">
        <f>IFERROR('📈 P&amp;L'!F27/'📈 P&amp;L'!F6,0)</f>
        <v>6.6859943028248284E-2</v>
      </c>
      <c r="G14" s="11">
        <f>IFERROR('📈 P&amp;L'!G27/'📈 P&amp;L'!G6,0)</f>
        <v>7.0751527813840434E-2</v>
      </c>
      <c r="H14" s="11">
        <f>IFERROR('📈 P&amp;L'!H27/'📈 P&amp;L'!H6,0)</f>
        <v>7.4564274883256121E-2</v>
      </c>
      <c r="I14" s="11">
        <f>IFERROR('📈 P&amp;L'!I27/'📈 P&amp;L'!I6,0)</f>
        <v>7.8299844348556469E-2</v>
      </c>
      <c r="J14" s="11">
        <f>IFERROR('📈 P&amp;L'!J27/'📈 P&amp;L'!J6,0)</f>
        <v>8.1959858128642371E-2</v>
      </c>
      <c r="K14" s="11">
        <f>IFERROR('📈 P&amp;L'!K27/'📈 P&amp;L'!K6,0)</f>
        <v>8.5545900870753852E-2</v>
      </c>
      <c r="L14" s="11">
        <f>IFERROR('📈 P&amp;L'!L27/'📈 P&amp;L'!L6,0)</f>
        <v>8.9059520849011559E-2</v>
      </c>
      <c r="M14" s="11">
        <f>IFERROR('📈 P&amp;L'!M27/'📈 P&amp;L'!M6,0)</f>
        <v>9.2502230840584967E-2</v>
      </c>
      <c r="N14" s="12">
        <f>IFERROR('📈 P&amp;L'!$N$27/'📈 P&amp;L'!$N$6,0)</f>
        <v>7.3323148388780998E-2</v>
      </c>
    </row>
    <row r="15" spans="1:14" ht="21.75" customHeight="1" x14ac:dyDescent="0.25">
      <c r="A15" s="2" t="s">
        <v>195</v>
      </c>
      <c r="B15" s="11">
        <f>IFERROR('📈 P&amp;L'!B27*12/'🏛 BALANCE SHEET'!B23,0)</f>
        <v>0.21513663738964048</v>
      </c>
      <c r="C15" s="11">
        <f>IFERROR('📈 P&amp;L'!C27*12/'🏛 BALANCE SHEET'!C23,0)</f>
        <v>0.23430586712592269</v>
      </c>
      <c r="D15" s="11">
        <f>IFERROR('📈 P&amp;L'!D27*12/'🏛 BALANCE SHEET'!D23,0)</f>
        <v>0.25289108601384658</v>
      </c>
      <c r="E15" s="11">
        <f>IFERROR('📈 P&amp;L'!E27*12/'🏛 BALANCE SHEET'!E23,0)</f>
        <v>0.27082334555632503</v>
      </c>
      <c r="F15" s="11">
        <f>IFERROR('📈 P&amp;L'!F27*12/'🏛 BALANCE SHEET'!F23,0)</f>
        <v>0.28804320389355792</v>
      </c>
      <c r="G15" s="11">
        <f>IFERROR('📈 P&amp;L'!G27*12/'🏛 BALANCE SHEET'!G23,0)</f>
        <v>0.30450107207705096</v>
      </c>
      <c r="H15" s="11">
        <f>IFERROR('📈 P&amp;L'!H27*12/'🏛 BALANCE SHEET'!H23,0)</f>
        <v>0.32015730491138206</v>
      </c>
      <c r="I15" s="11">
        <f>IFERROR('📈 P&amp;L'!I27*12/'🏛 BALANCE SHEET'!I23,0)</f>
        <v>0.33498205755161553</v>
      </c>
      <c r="J15" s="11">
        <f>IFERROR('📈 P&amp;L'!J27*12/'🏛 BALANCE SHEET'!J23,0)</f>
        <v>0.34895493644705317</v>
      </c>
      <c r="K15" s="11">
        <f>IFERROR('📈 P&amp;L'!K27*12/'🏛 BALANCE SHEET'!K23,0)</f>
        <v>0.36206447816325604</v>
      </c>
      <c r="L15" s="11">
        <f>IFERROR('📈 P&amp;L'!L27*12/'🏛 BALANCE SHEET'!L23,0)</f>
        <v>0.3743074921409672</v>
      </c>
      <c r="M15" s="11">
        <f>IFERROR('📈 P&amp;L'!M27*12/'🏛 BALANCE SHEET'!M23,0)</f>
        <v>0.38568830378741148</v>
      </c>
      <c r="N15" s="12">
        <f>IFERROR('📈 P&amp;L'!$N$27/'🏛 BALANCE SHEET'!M23,0)</f>
        <v>0.26786792570697782</v>
      </c>
    </row>
    <row r="16" spans="1:14" ht="21.75" customHeight="1" x14ac:dyDescent="0.25">
      <c r="A16" s="2" t="s">
        <v>196</v>
      </c>
      <c r="B16" s="11">
        <f>IFERROR('📈 P&amp;L'!B23*12/('🏛 BALANCE SHEET'!B23+'🏛 BALANCE SHEET'!B27),0)</f>
        <v>0.26515717836142372</v>
      </c>
      <c r="C16" s="11">
        <f>IFERROR('📈 P&amp;L'!C23*12/('🏛 BALANCE SHEET'!C23+'🏛 BALANCE SHEET'!C27),0)</f>
        <v>0.28771601483757869</v>
      </c>
      <c r="D16" s="11">
        <f>IFERROR('📈 P&amp;L'!D23*12/('🏛 BALANCE SHEET'!D23+'🏛 BALANCE SHEET'!D27),0)</f>
        <v>0.31014654423774929</v>
      </c>
      <c r="E16" s="11">
        <f>IFERROR('📈 P&amp;L'!E23*12/('🏛 BALANCE SHEET'!E23+'🏛 BALANCE SHEET'!E27),0)</f>
        <v>0.33234777601142285</v>
      </c>
      <c r="F16" s="11">
        <f>IFERROR('📈 P&amp;L'!F23*12/('🏛 BALANCE SHEET'!F23+'🏛 BALANCE SHEET'!F27),0)</f>
        <v>0.35422095917124535</v>
      </c>
      <c r="G16" s="11">
        <f>IFERROR('📈 P&amp;L'!G23*12/('🏛 BALANCE SHEET'!G23+'🏛 BALANCE SHEET'!G27),0)</f>
        <v>0.37567107178260822</v>
      </c>
      <c r="H16" s="11">
        <f>IFERROR('📈 P&amp;L'!H23*12/('🏛 BALANCE SHEET'!H23+'🏛 BALANCE SHEET'!H27),0)</f>
        <v>0.39660820935145874</v>
      </c>
      <c r="I16" s="11">
        <f>IFERROR('📈 P&amp;L'!I23*12/('🏛 BALANCE SHEET'!I23+'🏛 BALANCE SHEET'!I27),0)</f>
        <v>0.41694883015488926</v>
      </c>
      <c r="J16" s="11">
        <f>IFERROR('📈 P&amp;L'!J23*12/('🏛 BALANCE SHEET'!J23+'🏛 BALANCE SHEET'!J27),0)</f>
        <v>0.4366168226329501</v>
      </c>
      <c r="K16" s="11">
        <f>IFERROR('📈 P&amp;L'!K23*12/('🏛 BALANCE SHEET'!K23+'🏛 BALANCE SHEET'!K27),0)</f>
        <v>0.45554436862983427</v>
      </c>
      <c r="L16" s="11">
        <f>IFERROR('📈 P&amp;L'!L23*12/('🏛 BALANCE SHEET'!L23+'🏛 BALANCE SHEET'!L27),0)</f>
        <v>0.47367258589451561</v>
      </c>
      <c r="M16" s="11">
        <f>IFERROR('📈 P&amp;L'!M23*12/('🏛 BALANCE SHEET'!M23+'🏛 BALANCE SHEET'!M27),0)</f>
        <v>0.49095194314409513</v>
      </c>
      <c r="N16" s="12">
        <f>IFERROR('📈 P&amp;L'!$N$23/('🏛 BALANCE SHEET'!M23+'🏛 BALANCE SHEET'!M27),0)</f>
        <v>0.35126865651474209</v>
      </c>
    </row>
    <row r="18" spans="1:14" ht="15" customHeight="1" x14ac:dyDescent="0.25">
      <c r="A18" s="41" t="s">
        <v>197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</sheetData>
  <sheetProtection algorithmName="SHA-512" hashValue="Fw3POJHHU8BRMCJRFjPvX3kG/oI8sSNwHKhXatsGvi8eNWRhQtjfKdO1bPvUUuGd+7Cmjyuk1pWfZONv+aV7Vg==" saltValue="AVixUbZb0SAhkeFFIuRniQ==" spinCount="100000" sheet="1" objects="1" scenarios="1"/>
  <mergeCells count="6">
    <mergeCell ref="A18:N18"/>
    <mergeCell ref="A1:N1"/>
    <mergeCell ref="A2:N2"/>
    <mergeCell ref="A4:N4"/>
    <mergeCell ref="A8:N8"/>
    <mergeCell ref="A12:N12"/>
  </mergeCells>
  <pageMargins left="0.75" right="0.75" top="1" bottom="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C3483"/>
  </sheetPr>
  <dimension ref="A1:N39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26" style="1" customWidth="1"/>
    <col min="2" max="7" width="13" style="1" customWidth="1"/>
    <col min="8" max="16384" width="8.7109375" style="1"/>
  </cols>
  <sheetData>
    <row r="1" spans="1:14" ht="30" customHeight="1" x14ac:dyDescent="0.25">
      <c r="A1" s="37" t="s">
        <v>198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3" spans="1:14" ht="21.75" customHeight="1" x14ac:dyDescent="0.25">
      <c r="A3" s="42" t="s">
        <v>199</v>
      </c>
      <c r="B3" s="42"/>
      <c r="C3" s="42"/>
      <c r="D3" s="42"/>
      <c r="E3" s="42"/>
      <c r="F3" s="42"/>
      <c r="G3" s="42"/>
    </row>
    <row r="4" spans="1:14" ht="19.5" customHeight="1" x14ac:dyDescent="0.25">
      <c r="A4" s="2" t="s">
        <v>200</v>
      </c>
      <c r="B4" s="47">
        <f>'📈 P&amp;L'!$N$6</f>
        <v>11726220.02437414</v>
      </c>
      <c r="C4" s="47"/>
    </row>
    <row r="6" spans="1:14" ht="19.5" customHeight="1" x14ac:dyDescent="0.25">
      <c r="A6" s="2" t="s">
        <v>201</v>
      </c>
      <c r="B6" s="47">
        <f>'📈 P&amp;L'!$N$27</f>
        <v>859803.3708866802</v>
      </c>
      <c r="C6" s="47"/>
    </row>
    <row r="8" spans="1:14" ht="19.5" customHeight="1" x14ac:dyDescent="0.25">
      <c r="A8" s="2" t="s">
        <v>194</v>
      </c>
      <c r="B8" s="48">
        <f>'📊 RATIO ANALYSIS'!$N$14</f>
        <v>7.3323148388780998E-2</v>
      </c>
      <c r="C8" s="48"/>
    </row>
    <row r="10" spans="1:14" ht="19.5" customHeight="1" x14ac:dyDescent="0.25">
      <c r="A10" s="2" t="s">
        <v>202</v>
      </c>
      <c r="B10" s="44">
        <f>'🏛 BALANCE SHEET'!$N$12</f>
        <v>1311289.866657008</v>
      </c>
      <c r="C10" s="44"/>
    </row>
    <row r="12" spans="1:14" ht="19.5" customHeight="1" x14ac:dyDescent="0.25">
      <c r="A12" s="2" t="s">
        <v>187</v>
      </c>
      <c r="B12" s="45">
        <f>'📊 RATIO ANALYSIS'!$N$5</f>
        <v>2.0515960397294628</v>
      </c>
      <c r="C12" s="45"/>
    </row>
    <row r="14" spans="1:14" ht="19.5" customHeight="1" x14ac:dyDescent="0.25">
      <c r="A14" s="2" t="s">
        <v>203</v>
      </c>
      <c r="B14" s="45">
        <f>'📊 RATIO ANALYSIS'!$N$9</f>
        <v>0.18692733811736736</v>
      </c>
      <c r="C14" s="45"/>
    </row>
    <row r="16" spans="1:14" ht="19.5" customHeight="1" x14ac:dyDescent="0.25">
      <c r="A16" s="2" t="s">
        <v>204</v>
      </c>
      <c r="B16" s="46">
        <f>'📊 RATIO ANALYSIS'!$N$15</f>
        <v>0.26786792570697782</v>
      </c>
      <c r="C16" s="46"/>
    </row>
    <row r="19" spans="1:7" ht="21.75" customHeight="1" x14ac:dyDescent="0.25">
      <c r="A19" s="39" t="s">
        <v>205</v>
      </c>
      <c r="B19" s="39"/>
      <c r="C19" s="39"/>
      <c r="D19" s="39"/>
      <c r="E19" s="39"/>
      <c r="F19" s="39"/>
      <c r="G19" s="39"/>
    </row>
    <row r="20" spans="1:7" ht="15" customHeight="1" x14ac:dyDescent="0.25">
      <c r="A20" s="3" t="s">
        <v>206</v>
      </c>
      <c r="B20" s="3" t="s">
        <v>110</v>
      </c>
      <c r="C20" s="3" t="s">
        <v>207</v>
      </c>
    </row>
    <row r="21" spans="1:7" ht="15" customHeight="1" x14ac:dyDescent="0.25">
      <c r="A21" s="4" t="s">
        <v>95</v>
      </c>
      <c r="B21" s="5">
        <f>'📈 P&amp;L'!B6</f>
        <v>850000</v>
      </c>
      <c r="C21" s="5">
        <f>'📈 P&amp;L'!B27</f>
        <v>42900.038999999961</v>
      </c>
    </row>
    <row r="22" spans="1:7" ht="15" customHeight="1" x14ac:dyDescent="0.25">
      <c r="A22" s="4" t="s">
        <v>96</v>
      </c>
      <c r="B22" s="5">
        <f>'📈 P&amp;L'!C6</f>
        <v>871249.99999999988</v>
      </c>
      <c r="C22" s="5">
        <f>'📈 P&amp;L'!C27</f>
        <v>47652.991166666579</v>
      </c>
    </row>
    <row r="23" spans="1:7" ht="15" customHeight="1" x14ac:dyDescent="0.25">
      <c r="A23" s="4" t="s">
        <v>97</v>
      </c>
      <c r="B23" s="5">
        <f>'📈 P&amp;L'!D6</f>
        <v>893031.24999999977</v>
      </c>
      <c r="C23" s="5">
        <f>'📈 P&amp;L'!D27</f>
        <v>52540.085462083254</v>
      </c>
    </row>
    <row r="24" spans="1:7" ht="15" customHeight="1" x14ac:dyDescent="0.25">
      <c r="A24" s="4" t="s">
        <v>98</v>
      </c>
      <c r="B24" s="5">
        <f>'📈 P&amp;L'!E6</f>
        <v>915357.03124999965</v>
      </c>
      <c r="C24" s="5">
        <f>'📈 P&amp;L'!E27</f>
        <v>57564.809385168614</v>
      </c>
    </row>
    <row r="25" spans="1:7" ht="15" customHeight="1" x14ac:dyDescent="0.25">
      <c r="A25" s="4" t="s">
        <v>99</v>
      </c>
      <c r="B25" s="5">
        <f>'📈 P&amp;L'!F6</f>
        <v>938240.95703124953</v>
      </c>
      <c r="C25" s="5">
        <f>'📈 P&amp;L'!F27</f>
        <v>62730.736933878492</v>
      </c>
    </row>
    <row r="26" spans="1:7" ht="15" customHeight="1" x14ac:dyDescent="0.25">
      <c r="A26" s="4" t="s">
        <v>100</v>
      </c>
      <c r="B26" s="5">
        <f>'📈 P&amp;L'!G6</f>
        <v>961696.98095703067</v>
      </c>
      <c r="C26" s="5">
        <f>'📈 P&amp;L'!G27</f>
        <v>68041.530696667731</v>
      </c>
    </row>
    <row r="27" spans="1:7" ht="15" customHeight="1" x14ac:dyDescent="0.25">
      <c r="A27" s="4" t="s">
        <v>101</v>
      </c>
      <c r="B27" s="5">
        <f>'📈 P&amp;L'!H6</f>
        <v>985739.40548095631</v>
      </c>
      <c r="C27" s="5">
        <f>'📈 P&amp;L'!H27</f>
        <v>73500.943993539491</v>
      </c>
    </row>
    <row r="28" spans="1:7" ht="15" customHeight="1" x14ac:dyDescent="0.25">
      <c r="A28" s="4" t="s">
        <v>102</v>
      </c>
      <c r="B28" s="5">
        <f>'📈 P&amp;L'!I6</f>
        <v>1010382.8906179802</v>
      </c>
      <c r="C28" s="5">
        <f>'📈 P&amp;L'!I27</f>
        <v>79112.823067832403</v>
      </c>
    </row>
    <row r="29" spans="1:7" ht="15" customHeight="1" x14ac:dyDescent="0.25">
      <c r="A29" s="4" t="s">
        <v>103</v>
      </c>
      <c r="B29" s="5">
        <f>'📈 P&amp;L'!J6</f>
        <v>1035642.4628834296</v>
      </c>
      <c r="C29" s="5">
        <f>'📈 P&amp;L'!J27</f>
        <v>84881.109329923667</v>
      </c>
    </row>
    <row r="30" spans="1:7" ht="15" customHeight="1" x14ac:dyDescent="0.25">
      <c r="A30" s="4" t="s">
        <v>104</v>
      </c>
      <c r="B30" s="5">
        <f>'📈 P&amp;L'!K6</f>
        <v>1061533.5244555152</v>
      </c>
      <c r="C30" s="5">
        <f>'📈 P&amp;L'!K27</f>
        <v>90809.841654053467</v>
      </c>
    </row>
    <row r="31" spans="1:7" ht="15" customHeight="1" x14ac:dyDescent="0.25">
      <c r="A31" s="4" t="s">
        <v>105</v>
      </c>
      <c r="B31" s="5">
        <f>'📈 P&amp;L'!L6</f>
        <v>1088071.862566903</v>
      </c>
      <c r="C31" s="5">
        <f>'📈 P&amp;L'!L27</f>
        <v>96903.158729499934</v>
      </c>
    </row>
    <row r="32" spans="1:7" ht="15" customHeight="1" x14ac:dyDescent="0.25">
      <c r="A32" s="4" t="s">
        <v>106</v>
      </c>
      <c r="B32" s="5">
        <f>'📈 P&amp;L'!M6</f>
        <v>1115273.6591310755</v>
      </c>
      <c r="C32" s="5">
        <f>'📈 P&amp;L'!M27</f>
        <v>103165.30146736662</v>
      </c>
    </row>
    <row r="34" spans="1:7" ht="21.75" customHeight="1" x14ac:dyDescent="0.25">
      <c r="A34" s="40" t="s">
        <v>208</v>
      </c>
      <c r="B34" s="40"/>
      <c r="C34" s="40"/>
      <c r="D34" s="40"/>
      <c r="E34" s="40"/>
      <c r="F34" s="40"/>
      <c r="G34" s="40"/>
    </row>
    <row r="35" spans="1:7" ht="15" customHeight="1" x14ac:dyDescent="0.25">
      <c r="A35" s="3" t="s">
        <v>209</v>
      </c>
      <c r="B35" s="3" t="s">
        <v>210</v>
      </c>
    </row>
    <row r="36" spans="1:7" ht="15" customHeight="1" x14ac:dyDescent="0.25">
      <c r="A36" s="2" t="s">
        <v>211</v>
      </c>
      <c r="B36" s="5">
        <f>'🏛 BALANCE SHEET'!$N$8</f>
        <v>1560960</v>
      </c>
    </row>
    <row r="37" spans="1:7" ht="15" customHeight="1" x14ac:dyDescent="0.25">
      <c r="A37" s="2" t="s">
        <v>212</v>
      </c>
      <c r="B37" s="5">
        <f>'🏛 BALANCE SHEET'!$N$12</f>
        <v>1311289.866657008</v>
      </c>
    </row>
    <row r="38" spans="1:7" ht="15" customHeight="1" x14ac:dyDescent="0.25">
      <c r="A38" s="2" t="s">
        <v>213</v>
      </c>
      <c r="B38" s="5">
        <f>'🏛 BALANCE SHEET'!$N$13</f>
        <v>1672910.4886966133</v>
      </c>
    </row>
    <row r="39" spans="1:7" ht="15" customHeight="1" x14ac:dyDescent="0.25">
      <c r="A39" s="2" t="s">
        <v>214</v>
      </c>
      <c r="B39" s="5">
        <f>'🏛 BALANCE SHEET'!$N$14</f>
        <v>817867.3500294555</v>
      </c>
    </row>
  </sheetData>
  <sheetProtection algorithmName="SHA-512" hashValue="UNB6Yq0ifAS4Iy6p++O13dkIhaapgddDH2RwyuRFkMq9Xw3AhZiWN8NqHTdb7PC9Bx83q3jxt6CS/kIQF1PjBg==" saltValue="ahchByG5FRIDqEjCmT+yrQ==" spinCount="100000" sheet="1" objects="1" scenarios="1"/>
  <mergeCells count="11">
    <mergeCell ref="A1:N1"/>
    <mergeCell ref="A3:G3"/>
    <mergeCell ref="B4:C4"/>
    <mergeCell ref="B6:C6"/>
    <mergeCell ref="B8:C8"/>
    <mergeCell ref="A34:G34"/>
    <mergeCell ref="B10:C10"/>
    <mergeCell ref="B12:C12"/>
    <mergeCell ref="B14:C14"/>
    <mergeCell ref="B16:C16"/>
    <mergeCell ref="A19:G19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E86C1"/>
  </sheetPr>
  <dimension ref="A1:B42"/>
  <sheetViews>
    <sheetView topLeftCell="A4" zoomScaleNormal="100" workbookViewId="0">
      <selection activeCell="A4" sqref="A1:XFD1048576"/>
    </sheetView>
  </sheetViews>
  <sheetFormatPr defaultColWidth="8.7109375" defaultRowHeight="15" x14ac:dyDescent="0.25"/>
  <cols>
    <col min="1" max="1" width="6" style="1" customWidth="1"/>
    <col min="2" max="2" width="92" style="1" customWidth="1"/>
    <col min="3" max="16384" width="8.7109375" style="1"/>
  </cols>
  <sheetData>
    <row r="1" spans="1:2" ht="30" customHeight="1" x14ac:dyDescent="0.25">
      <c r="A1" s="37" t="s">
        <v>215</v>
      </c>
      <c r="B1" s="37"/>
    </row>
    <row r="3" spans="1:2" ht="19.5" customHeight="1" x14ac:dyDescent="0.25">
      <c r="A3" s="50" t="s">
        <v>216</v>
      </c>
      <c r="B3" s="50"/>
    </row>
    <row r="4" spans="1:2" ht="19.5" customHeight="1" x14ac:dyDescent="0.25">
      <c r="A4" s="42" t="s">
        <v>217</v>
      </c>
      <c r="B4" s="42"/>
    </row>
    <row r="5" spans="1:2" ht="33.75" customHeight="1" x14ac:dyDescent="0.25">
      <c r="A5" s="49" t="s">
        <v>218</v>
      </c>
      <c r="B5" s="49"/>
    </row>
    <row r="6" spans="1:2" ht="19.5" customHeight="1" x14ac:dyDescent="0.25">
      <c r="A6" s="42" t="s">
        <v>219</v>
      </c>
      <c r="B6" s="42"/>
    </row>
    <row r="7" spans="1:2" ht="33.75" customHeight="1" x14ac:dyDescent="0.25">
      <c r="A7" s="49" t="s">
        <v>220</v>
      </c>
      <c r="B7" s="49"/>
    </row>
    <row r="8" spans="1:2" ht="19.5" customHeight="1" x14ac:dyDescent="0.25">
      <c r="A8" s="42" t="s">
        <v>221</v>
      </c>
      <c r="B8" s="42"/>
    </row>
    <row r="9" spans="1:2" ht="33.75" customHeight="1" x14ac:dyDescent="0.25">
      <c r="A9" s="49" t="s">
        <v>222</v>
      </c>
      <c r="B9" s="49"/>
    </row>
    <row r="10" spans="1:2" ht="19.5" customHeight="1" x14ac:dyDescent="0.25">
      <c r="A10" s="42" t="s">
        <v>223</v>
      </c>
      <c r="B10" s="42"/>
    </row>
    <row r="11" spans="1:2" ht="33.75" customHeight="1" x14ac:dyDescent="0.25">
      <c r="A11" s="49" t="s">
        <v>224</v>
      </c>
      <c r="B11" s="49"/>
    </row>
    <row r="12" spans="1:2" ht="19.5" customHeight="1" x14ac:dyDescent="0.25">
      <c r="A12" s="42" t="s">
        <v>225</v>
      </c>
      <c r="B12" s="42"/>
    </row>
    <row r="13" spans="1:2" ht="33.75" customHeight="1" x14ac:dyDescent="0.25">
      <c r="A13" s="49" t="s">
        <v>226</v>
      </c>
      <c r="B13" s="49"/>
    </row>
    <row r="14" spans="1:2" ht="19.5" customHeight="1" x14ac:dyDescent="0.25">
      <c r="A14" s="42" t="s">
        <v>227</v>
      </c>
      <c r="B14" s="42"/>
    </row>
    <row r="15" spans="1:2" ht="33.75" customHeight="1" x14ac:dyDescent="0.25">
      <c r="A15" s="49" t="s">
        <v>228</v>
      </c>
      <c r="B15" s="49"/>
    </row>
    <row r="17" spans="1:2" ht="19.5" customHeight="1" x14ac:dyDescent="0.25">
      <c r="A17" s="50" t="s">
        <v>229</v>
      </c>
      <c r="B17" s="50"/>
    </row>
    <row r="18" spans="1:2" ht="33.75" customHeight="1" x14ac:dyDescent="0.25">
      <c r="A18" s="49" t="s">
        <v>230</v>
      </c>
      <c r="B18" s="49"/>
    </row>
    <row r="20" spans="1:2" ht="19.5" customHeight="1" x14ac:dyDescent="0.25">
      <c r="A20" s="50" t="s">
        <v>231</v>
      </c>
      <c r="B20" s="50"/>
    </row>
    <row r="21" spans="1:2" ht="33.75" customHeight="1" x14ac:dyDescent="0.25">
      <c r="A21" s="49" t="s">
        <v>232</v>
      </c>
      <c r="B21" s="49"/>
    </row>
    <row r="22" spans="1:2" ht="33.75" customHeight="1" x14ac:dyDescent="0.25">
      <c r="A22" s="49" t="s">
        <v>233</v>
      </c>
      <c r="B22" s="49"/>
    </row>
    <row r="23" spans="1:2" ht="33.75" customHeight="1" x14ac:dyDescent="0.25">
      <c r="A23" s="49" t="s">
        <v>234</v>
      </c>
      <c r="B23" s="49"/>
    </row>
    <row r="24" spans="1:2" ht="33.75" customHeight="1" x14ac:dyDescent="0.25">
      <c r="A24" s="49" t="s">
        <v>235</v>
      </c>
      <c r="B24" s="49"/>
    </row>
    <row r="25" spans="1:2" ht="33.75" customHeight="1" x14ac:dyDescent="0.25">
      <c r="A25" s="49" t="s">
        <v>236</v>
      </c>
      <c r="B25" s="49"/>
    </row>
    <row r="27" spans="1:2" ht="19.5" customHeight="1" x14ac:dyDescent="0.25">
      <c r="A27" s="50" t="s">
        <v>237</v>
      </c>
      <c r="B27" s="50"/>
    </row>
    <row r="28" spans="1:2" ht="33.75" customHeight="1" x14ac:dyDescent="0.25">
      <c r="A28" s="49" t="s">
        <v>238</v>
      </c>
      <c r="B28" s="49"/>
    </row>
    <row r="29" spans="1:2" ht="33.75" customHeight="1" x14ac:dyDescent="0.25">
      <c r="A29" s="49" t="s">
        <v>239</v>
      </c>
      <c r="B29" s="49"/>
    </row>
    <row r="30" spans="1:2" ht="33.75" customHeight="1" x14ac:dyDescent="0.25">
      <c r="A30" s="49" t="s">
        <v>240</v>
      </c>
      <c r="B30" s="49"/>
    </row>
    <row r="31" spans="1:2" ht="33.75" customHeight="1" x14ac:dyDescent="0.25">
      <c r="A31" s="49" t="s">
        <v>241</v>
      </c>
      <c r="B31" s="49"/>
    </row>
    <row r="32" spans="1:2" ht="33.75" customHeight="1" x14ac:dyDescent="0.25">
      <c r="A32" s="49" t="s">
        <v>242</v>
      </c>
      <c r="B32" s="49"/>
    </row>
    <row r="34" spans="1:2" ht="19.5" customHeight="1" x14ac:dyDescent="0.25">
      <c r="A34" s="50" t="s">
        <v>243</v>
      </c>
      <c r="B34" s="50"/>
    </row>
    <row r="35" spans="1:2" ht="33.75" customHeight="1" x14ac:dyDescent="0.25">
      <c r="A35" s="49" t="s">
        <v>244</v>
      </c>
      <c r="B35" s="49"/>
    </row>
    <row r="36" spans="1:2" ht="33.75" customHeight="1" x14ac:dyDescent="0.25">
      <c r="A36" s="49" t="s">
        <v>245</v>
      </c>
      <c r="B36" s="49"/>
    </row>
    <row r="37" spans="1:2" ht="33.75" customHeight="1" x14ac:dyDescent="0.25">
      <c r="A37" s="49" t="s">
        <v>246</v>
      </c>
      <c r="B37" s="49"/>
    </row>
    <row r="39" spans="1:2" ht="19.5" customHeight="1" x14ac:dyDescent="0.25">
      <c r="A39" s="50" t="s">
        <v>247</v>
      </c>
      <c r="B39" s="50"/>
    </row>
    <row r="40" spans="1:2" ht="33.75" customHeight="1" x14ac:dyDescent="0.25">
      <c r="A40" s="49" t="s">
        <v>248</v>
      </c>
      <c r="B40" s="49"/>
    </row>
    <row r="42" spans="1:2" ht="15.75" customHeight="1" x14ac:dyDescent="0.25">
      <c r="A42" s="51" t="s">
        <v>249</v>
      </c>
      <c r="B42" s="51"/>
    </row>
  </sheetData>
  <mergeCells count="35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20:B20"/>
    <mergeCell ref="A21:B21"/>
    <mergeCell ref="A22:B22"/>
    <mergeCell ref="A23:B23"/>
    <mergeCell ref="A24:B24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A37:B37"/>
    <mergeCell ref="A39:B39"/>
    <mergeCell ref="A40:B40"/>
    <mergeCell ref="A42:B42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🏠 COVER</vt:lpstr>
      <vt:lpstr>⚙ SETUP</vt:lpstr>
      <vt:lpstr>📈 P&amp;L</vt:lpstr>
      <vt:lpstr>🏛 BALANCE SHEET</vt:lpstr>
      <vt:lpstr>💵 CASH FLOW</vt:lpstr>
      <vt:lpstr>📊 RATIO ANALYSIS</vt:lpstr>
      <vt:lpstr>📈 DASHBOARD</vt:lpstr>
      <vt:lpstr>📖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madhu roy</cp:lastModifiedBy>
  <cp:revision>2</cp:revision>
  <dcterms:created xsi:type="dcterms:W3CDTF">2026-08-27T17:33:06Z</dcterms:created>
  <dcterms:modified xsi:type="dcterms:W3CDTF">2026-08-28T06:02:27Z</dcterms:modified>
  <dc:language>en-US</dc:language>
</cp:coreProperties>
</file>