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C:\ACER Data website\MAYA\CAMSROY website\Excel Template\Ratio Analysis Template\"/>
    </mc:Choice>
  </mc:AlternateContent>
  <xr:revisionPtr revIDLastSave="0" documentId="13_ncr:1_{F596E1D1-C2D6-41C7-8104-EE31D9587B56}" xr6:coauthVersionLast="47" xr6:coauthVersionMax="47" xr10:uidLastSave="{00000000-0000-0000-0000-000000000000}"/>
  <bookViews>
    <workbookView xWindow="-120" yWindow="-120" windowWidth="25440" windowHeight="15270" tabRatio="500" activeTab="5" xr2:uid="{00000000-000D-0000-FFFF-FFFF00000000}"/>
  </bookViews>
  <sheets>
    <sheet name="🏠 COVER" sheetId="1" r:id="rId1"/>
    <sheet name="⚙ SETUP" sheetId="2" r:id="rId2"/>
    <sheet name="📈 P&amp;L INPUT" sheetId="3" r:id="rId3"/>
    <sheet name="🏛 BALANCE SHEET INPUT" sheetId="4" r:id="rId4"/>
    <sheet name="💵 CASH FLOW INPUT" sheetId="5" r:id="rId5"/>
    <sheet name="📊 RATIO ANALYSIS" sheetId="6" r:id="rId6"/>
    <sheet name="🎯 DUPONT &amp; Z-SCORE" sheetId="7" r:id="rId7"/>
    <sheet name="📈 DASHBOARD" sheetId="8" r:id="rId8"/>
    <sheet name="📖 HOW TO USE" sheetId="9" r:id="rId9"/>
  </sheet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H43" i="6" l="1"/>
  <c r="G43" i="6"/>
  <c r="J43" i="6" s="1"/>
  <c r="F43" i="6"/>
  <c r="E43" i="6"/>
  <c r="D43" i="6"/>
  <c r="J37" i="6"/>
  <c r="H37" i="6"/>
  <c r="G37" i="6"/>
  <c r="F37" i="6"/>
  <c r="E37" i="6"/>
  <c r="D37" i="6"/>
  <c r="H31" i="6"/>
  <c r="G31" i="6"/>
  <c r="J31" i="6" s="1"/>
  <c r="F31" i="6"/>
  <c r="E31" i="6"/>
  <c r="D31" i="6"/>
  <c r="H30" i="6"/>
  <c r="G30" i="6"/>
  <c r="J30" i="6" s="1"/>
  <c r="F30" i="6"/>
  <c r="E30" i="6"/>
  <c r="D30" i="6"/>
  <c r="H29" i="6"/>
  <c r="G29" i="6"/>
  <c r="J29" i="6" s="1"/>
  <c r="F29" i="6"/>
  <c r="E29" i="6"/>
  <c r="D29" i="6"/>
  <c r="H28" i="6"/>
  <c r="G28" i="6"/>
  <c r="J28" i="6" s="1"/>
  <c r="F28" i="6"/>
  <c r="E28" i="6"/>
  <c r="D28" i="6"/>
  <c r="H27" i="6"/>
  <c r="G27" i="6"/>
  <c r="J27" i="6" s="1"/>
  <c r="F27" i="6"/>
  <c r="E27" i="6"/>
  <c r="D27" i="6"/>
  <c r="H26" i="6"/>
  <c r="G26" i="6"/>
  <c r="J26" i="6" s="1"/>
  <c r="F26" i="6"/>
  <c r="E26" i="6"/>
  <c r="D26" i="6"/>
  <c r="H25" i="6"/>
  <c r="G25" i="6"/>
  <c r="J25" i="6" s="1"/>
  <c r="F25" i="6"/>
  <c r="E25" i="6"/>
  <c r="D25" i="6"/>
  <c r="H24" i="6"/>
  <c r="G24" i="6"/>
  <c r="J24" i="6" s="1"/>
  <c r="F24" i="6"/>
  <c r="E24" i="6"/>
  <c r="D24" i="6"/>
  <c r="F17" i="5"/>
  <c r="E17" i="5"/>
  <c r="D17" i="5"/>
  <c r="C17" i="5"/>
  <c r="B17" i="5"/>
  <c r="F9" i="5"/>
  <c r="F19" i="5" s="1"/>
  <c r="E9" i="5"/>
  <c r="E19" i="5" s="1"/>
  <c r="D9" i="5"/>
  <c r="D19" i="5" s="1"/>
  <c r="C9" i="5"/>
  <c r="C19" i="5" s="1"/>
  <c r="B9" i="5"/>
  <c r="B19" i="5" s="1"/>
  <c r="F24" i="4"/>
  <c r="E24" i="4"/>
  <c r="D24" i="4"/>
  <c r="C24" i="4"/>
  <c r="B24" i="4"/>
  <c r="F23" i="4"/>
  <c r="E23" i="4"/>
  <c r="D23" i="4"/>
  <c r="C23" i="4"/>
  <c r="B23" i="4"/>
  <c r="F17" i="4"/>
  <c r="E17" i="4"/>
  <c r="D17" i="4"/>
  <c r="C17" i="4"/>
  <c r="B17" i="4"/>
  <c r="F11" i="4"/>
  <c r="E11" i="4"/>
  <c r="D11" i="4"/>
  <c r="C11" i="4"/>
  <c r="B11" i="4"/>
  <c r="F6" i="3"/>
  <c r="E6" i="3"/>
  <c r="D6" i="3"/>
  <c r="C6" i="3"/>
  <c r="B6" i="3"/>
  <c r="B25" i="8"/>
  <c r="B24" i="8"/>
  <c r="B23" i="8"/>
  <c r="B22" i="8"/>
  <c r="B21" i="8"/>
  <c r="B16" i="8"/>
  <c r="B12" i="8"/>
  <c r="H18" i="6" l="1"/>
  <c r="H36" i="6"/>
  <c r="H41" i="6"/>
  <c r="H40" i="6"/>
  <c r="B44" i="8" s="1"/>
  <c r="G40" i="6"/>
  <c r="J40" i="6" s="1"/>
  <c r="G41" i="6"/>
  <c r="J41" i="6" s="1"/>
  <c r="G18" i="6"/>
  <c r="G36" i="6"/>
  <c r="J36" i="6" s="1"/>
  <c r="F18" i="6"/>
  <c r="D31" i="8" s="1"/>
  <c r="F36" i="6"/>
  <c r="F41" i="6"/>
  <c r="F40" i="6"/>
  <c r="E18" i="6"/>
  <c r="D30" i="8" s="1"/>
  <c r="E36" i="6"/>
  <c r="E40" i="6"/>
  <c r="E41" i="6"/>
  <c r="D18" i="6"/>
  <c r="D29" i="8" s="1"/>
  <c r="D36" i="6"/>
  <c r="D41" i="6"/>
  <c r="D40" i="6"/>
  <c r="H7" i="6"/>
  <c r="H35" i="6"/>
  <c r="H21" i="6"/>
  <c r="G7" i="6"/>
  <c r="J7" i="6" s="1"/>
  <c r="G35" i="6"/>
  <c r="G21" i="6"/>
  <c r="J21" i="6" s="1"/>
  <c r="F35" i="6"/>
  <c r="F21" i="6"/>
  <c r="F7" i="6"/>
  <c r="E21" i="6"/>
  <c r="E35" i="6"/>
  <c r="E7" i="6"/>
  <c r="D35" i="6"/>
  <c r="D7" i="6"/>
  <c r="D21" i="6"/>
  <c r="F21" i="7"/>
  <c r="F25" i="4"/>
  <c r="E25" i="4"/>
  <c r="E21" i="7"/>
  <c r="D21" i="7"/>
  <c r="D25" i="4"/>
  <c r="C21" i="7"/>
  <c r="C25" i="4"/>
  <c r="B25" i="4"/>
  <c r="B21" i="7"/>
  <c r="H6" i="6"/>
  <c r="H5" i="6"/>
  <c r="F12" i="4"/>
  <c r="F18" i="7"/>
  <c r="G6" i="6"/>
  <c r="J6" i="6" s="1"/>
  <c r="E12" i="4"/>
  <c r="G5" i="6"/>
  <c r="F5" i="6"/>
  <c r="B31" i="8" s="1"/>
  <c r="F6" i="6"/>
  <c r="D12" i="4"/>
  <c r="E5" i="6"/>
  <c r="B30" i="8" s="1"/>
  <c r="E6" i="6"/>
  <c r="C12" i="4"/>
  <c r="D5" i="6"/>
  <c r="B29" i="8" s="1"/>
  <c r="D6" i="6"/>
  <c r="B12" i="4"/>
  <c r="H10" i="6"/>
  <c r="F8" i="3"/>
  <c r="G10" i="6"/>
  <c r="E8" i="3"/>
  <c r="F10" i="6"/>
  <c r="D8" i="3"/>
  <c r="E10" i="6"/>
  <c r="C8" i="3"/>
  <c r="D10" i="6"/>
  <c r="B8" i="3"/>
  <c r="B10" i="8" l="1"/>
  <c r="D33" i="8"/>
  <c r="B39" i="8"/>
  <c r="D32" i="8"/>
  <c r="J18" i="6"/>
  <c r="B4" i="8"/>
  <c r="B33" i="8"/>
  <c r="B37" i="8"/>
  <c r="F26" i="4"/>
  <c r="F7" i="7"/>
  <c r="F8" i="7"/>
  <c r="H32" i="6"/>
  <c r="F19" i="7"/>
  <c r="E26" i="4"/>
  <c r="E7" i="7"/>
  <c r="E8" i="7"/>
  <c r="G32" i="6"/>
  <c r="J32" i="6" s="1"/>
  <c r="E19" i="7"/>
  <c r="J5" i="6"/>
  <c r="B32" i="8"/>
  <c r="D26" i="4"/>
  <c r="F32" i="6"/>
  <c r="D7" i="7"/>
  <c r="D8" i="7"/>
  <c r="D19" i="7"/>
  <c r="C26" i="4"/>
  <c r="C7" i="7"/>
  <c r="C8" i="7"/>
  <c r="E32" i="6"/>
  <c r="C19" i="7"/>
  <c r="B26" i="4"/>
  <c r="D32" i="6"/>
  <c r="B7" i="7"/>
  <c r="B8" i="7"/>
  <c r="B19" i="7"/>
  <c r="F9" i="3"/>
  <c r="F11" i="3"/>
  <c r="H11" i="6"/>
  <c r="E9" i="3"/>
  <c r="E11" i="3"/>
  <c r="G11" i="6"/>
  <c r="J11" i="6" s="1"/>
  <c r="D9" i="3"/>
  <c r="D11" i="3"/>
  <c r="F11" i="6"/>
  <c r="C9" i="3"/>
  <c r="C11" i="3"/>
  <c r="E11" i="6"/>
  <c r="B9" i="3"/>
  <c r="B11" i="3"/>
  <c r="D11" i="6"/>
  <c r="J10" i="6"/>
  <c r="J35" i="6"/>
  <c r="H44" i="6"/>
  <c r="H19" i="6"/>
  <c r="G19" i="6"/>
  <c r="J19" i="6" s="1"/>
  <c r="G44" i="6"/>
  <c r="E18" i="7"/>
  <c r="F44" i="6"/>
  <c r="D18" i="7"/>
  <c r="F19" i="6"/>
  <c r="E44" i="6"/>
  <c r="C18" i="7"/>
  <c r="E19" i="6"/>
  <c r="B18" i="7"/>
  <c r="D44" i="6"/>
  <c r="D19" i="6"/>
  <c r="H15" i="6" l="1"/>
  <c r="H20" i="6"/>
  <c r="B40" i="8" s="1"/>
  <c r="F20" i="7"/>
  <c r="F22" i="7" s="1"/>
  <c r="F14" i="3"/>
  <c r="G15" i="6"/>
  <c r="J15" i="6" s="1"/>
  <c r="G20" i="6"/>
  <c r="J20" i="6" s="1"/>
  <c r="E20" i="7"/>
  <c r="E22" i="7" s="1"/>
  <c r="E23" i="7" s="1"/>
  <c r="E14" i="3"/>
  <c r="D14" i="3"/>
  <c r="F15" i="6"/>
  <c r="F20" i="6"/>
  <c r="D20" i="7"/>
  <c r="C14" i="3"/>
  <c r="E15" i="6"/>
  <c r="E20" i="6"/>
  <c r="C20" i="7"/>
  <c r="B14" i="3"/>
  <c r="D15" i="6"/>
  <c r="D20" i="6"/>
  <c r="B20" i="7"/>
  <c r="J44" i="6"/>
  <c r="D22" i="7"/>
  <c r="D23" i="7" s="1"/>
  <c r="C22" i="7"/>
  <c r="C23" i="7" s="1"/>
  <c r="B22" i="7"/>
  <c r="B23" i="7" s="1"/>
  <c r="B14" i="8" l="1"/>
  <c r="F23" i="7"/>
  <c r="B41" i="8" s="1"/>
  <c r="F15" i="3"/>
  <c r="F16" i="3"/>
  <c r="E15" i="3"/>
  <c r="E16" i="3"/>
  <c r="D15" i="3"/>
  <c r="D16" i="3" s="1"/>
  <c r="C15" i="3"/>
  <c r="C16" i="3" s="1"/>
  <c r="B15" i="3"/>
  <c r="B16" i="3" s="1"/>
  <c r="F17" i="3" l="1"/>
  <c r="C25" i="8"/>
  <c r="H13" i="6"/>
  <c r="H14" i="6"/>
  <c r="F10" i="7"/>
  <c r="H12" i="6"/>
  <c r="H42" i="6"/>
  <c r="B46" i="8" s="1"/>
  <c r="F6" i="7"/>
  <c r="F9" i="7" s="1"/>
  <c r="F11" i="7" s="1"/>
  <c r="E17" i="3"/>
  <c r="C24" i="8"/>
  <c r="G12" i="6"/>
  <c r="G42" i="6"/>
  <c r="E6" i="7"/>
  <c r="E9" i="7" s="1"/>
  <c r="E10" i="7"/>
  <c r="G13" i="6"/>
  <c r="G14" i="6"/>
  <c r="D17" i="3"/>
  <c r="C23" i="8"/>
  <c r="F13" i="6"/>
  <c r="F14" i="6"/>
  <c r="C31" i="8" s="1"/>
  <c r="D6" i="7"/>
  <c r="D9" i="7" s="1"/>
  <c r="D10" i="7"/>
  <c r="F12" i="6"/>
  <c r="F42" i="6"/>
  <c r="C17" i="3"/>
  <c r="C22" i="8"/>
  <c r="E12" i="6"/>
  <c r="E42" i="6"/>
  <c r="C10" i="7"/>
  <c r="E13" i="6"/>
  <c r="E14" i="6"/>
  <c r="C30" i="8" s="1"/>
  <c r="C6" i="7"/>
  <c r="C9" i="7" s="1"/>
  <c r="B17" i="3"/>
  <c r="C21" i="8"/>
  <c r="D13" i="6"/>
  <c r="D14" i="6"/>
  <c r="C29" i="8" s="1"/>
  <c r="B6" i="7"/>
  <c r="B9" i="7" s="1"/>
  <c r="B10" i="7"/>
  <c r="D12" i="6"/>
  <c r="D42" i="6"/>
  <c r="B8" i="8" l="1"/>
  <c r="C33" i="8"/>
  <c r="B6" i="8"/>
  <c r="B38" i="8"/>
  <c r="C32" i="8"/>
  <c r="J14" i="6"/>
  <c r="J12" i="6"/>
  <c r="J42" i="6"/>
  <c r="J13" i="6"/>
  <c r="E11" i="7"/>
  <c r="D11" i="7"/>
  <c r="C11" i="7"/>
  <c r="B11" i="7"/>
</calcChain>
</file>

<file path=xl/sharedStrings.xml><?xml version="1.0" encoding="utf-8"?>
<sst xmlns="http://schemas.openxmlformats.org/spreadsheetml/2006/main" count="448" uniqueCount="357">
  <si>
    <t>📊  camsroy.com</t>
  </si>
  <si>
    <t>Smart Finance Templates  |  Built for Indian SMEs, CAs &amp; Founders</t>
  </si>
  <si>
    <t>FINANCIAL RATIO ANALYSIS</t>
  </si>
  <si>
    <t>5-Year P&amp;L, Balance Sheet &amp; Cash Flow — 28+ Ratios, Fully Explained</t>
  </si>
  <si>
    <t>Every ratio: formula, meaning, 5-year trend, industry benchmark, and interpretation</t>
  </si>
  <si>
    <t>Illustrative data is included for demonstration. Replace the sample figures with your company's actual financial statements.</t>
  </si>
  <si>
    <t>Company Name</t>
  </si>
  <si>
    <t>[Enter Company Name]</t>
  </si>
  <si>
    <t>Years Covered</t>
  </si>
  <si>
    <t>FY22 to FY26 (5 years)</t>
  </si>
  <si>
    <t>Reporting Currency</t>
  </si>
  <si>
    <t>INR (₹)</t>
  </si>
  <si>
    <t>Prepared By</t>
  </si>
  <si>
    <t>[Your Name / CA Firm]</t>
  </si>
  <si>
    <t>Report Date</t>
  </si>
  <si>
    <t>[As-on Date]</t>
  </si>
  <si>
    <t>📋  WORKBOOK NAVIGATION</t>
  </si>
  <si>
    <t>⚙</t>
  </si>
  <si>
    <t xml:space="preserve">  SETUP  —  Industry benchmark reference table</t>
  </si>
  <si>
    <t>📈</t>
  </si>
  <si>
    <t xml:space="preserve">  P&amp;L INPUT  —  5 years of actual Profit &amp; Loss — paste your own figures</t>
  </si>
  <si>
    <t>🏛</t>
  </si>
  <si>
    <t xml:space="preserve">  BALANCE SHEET INPUT  —  5 years, with a live balance-check validation row</t>
  </si>
  <si>
    <t>💵</t>
  </si>
  <si>
    <t xml:space="preserve">  CASH FLOW INPUT  —  5 years, as filed/from your accounting software</t>
  </si>
  <si>
    <t>📊</t>
  </si>
  <si>
    <t xml:space="preserve">  RATIO ANALYSIS  —  25+ ratios — formula, meaning, 5-yr trend, benchmark, remarks</t>
  </si>
  <si>
    <t>🎯</t>
  </si>
  <si>
    <t xml:space="preserve">  DUPONT &amp; Z-SCORE  —  ROE decomposition + financial distress prediction</t>
  </si>
  <si>
    <t xml:space="preserve">  DASHBOARD  —  Trend charts and traffic-light health summary</t>
  </si>
  <si>
    <t>📖</t>
  </si>
  <si>
    <t xml:space="preserve">  HOW TO USE  —  Step-by-step guide &amp; methodology notes</t>
  </si>
  <si>
    <t>🎨  COLOUR LEGEND</t>
  </si>
  <si>
    <t>Blue cells = Input (paste your actual figures here)</t>
  </si>
  <si>
    <t>Green = Improving trend vs prior year</t>
  </si>
  <si>
    <t>Red = Deteriorating trend vs prior year</t>
  </si>
  <si>
    <t>Yellow = Balance Sheet check row (should always show 0)</t>
  </si>
  <si>
    <t>💡  WHAT MAKES THIS TEMPLATE DIFFERENT</t>
  </si>
  <si>
    <t>✓</t>
  </si>
  <si>
    <t>Every ratio ships with its FORMULA and PLAIN-ENGLISH MEANING — not just a number</t>
  </si>
  <si>
    <t>Industry benchmark shown alongside every ratio, not left for you to look up</t>
  </si>
  <si>
    <t>5-year trend, not a single-period snapshot — see direction, not just position</t>
  </si>
  <si>
    <t>Efficiency ratios (Inventory/Debtor/Creditor Days, Cash Conversion Cycle) — most free templates skip these entirely</t>
  </si>
  <si>
    <t>DuPont Analysis — decomposes ROE into margin, turnover, and leverage, so you know WHY ROE moved</t>
  </si>
  <si>
    <t>Altman Z''-Score — financial distress early-warning, a genuine differentiator vs free competitors</t>
  </si>
  <si>
    <t>Auto-generated Remarks column — plain-language interpretation, not just raw numbers</t>
  </si>
  <si>
    <t>© camsroy.com  |  Free for personal &amp; commercial use  |  www.camsroy.com</t>
  </si>
  <si>
    <t>📊  camsroy.com  |  SETUP  —  Industry Benchmark Reference</t>
  </si>
  <si>
    <t>General SME/trading-business benchmarks. Override per your specific industry — benchmarks vary meaningfully by sector.</t>
  </si>
  <si>
    <t>📐  BENCHMARK RANGES USED IN RATIO ANALYSIS SHEET</t>
  </si>
  <si>
    <t>Ratio</t>
  </si>
  <si>
    <t>Typical Healthy Range</t>
  </si>
  <si>
    <t>Notes</t>
  </si>
  <si>
    <t>Current Ratio</t>
  </si>
  <si>
    <t>1.5x – 2.0x</t>
  </si>
  <si>
    <t>Below 1.0x signals liquidity stress</t>
  </si>
  <si>
    <t>Quick Ratio</t>
  </si>
  <si>
    <t>≥ 1.0x</t>
  </si>
  <si>
    <t>Excludes inventory — tougher liquidity test</t>
  </si>
  <si>
    <t>Cash Ratio</t>
  </si>
  <si>
    <t>0.2x – 0.5x</t>
  </si>
  <si>
    <t>Immediate liquidity, excl. receivables too</t>
  </si>
  <si>
    <t>Gross Profit Margin</t>
  </si>
  <si>
    <t>20% – 40%</t>
  </si>
  <si>
    <t>Varies hugely by industry — trading vs manufacturing</t>
  </si>
  <si>
    <t>Net Profit Margin</t>
  </si>
  <si>
    <t>5% – 10%</t>
  </si>
  <si>
    <t>Typical for Indian SME trading/services</t>
  </si>
  <si>
    <t>Return on Equity (ROE)</t>
  </si>
  <si>
    <t>15% – 20%</t>
  </si>
  <si>
    <t>Higher is generally better, but check leverage-driven ROE</t>
  </si>
  <si>
    <t>Return on Capital Employed</t>
  </si>
  <si>
    <t>Should exceed cost of capital/borrowing rate</t>
  </si>
  <si>
    <t>Debt : Equity</t>
  </si>
  <si>
    <t>≤ 1.5x – 2.0x</t>
  </si>
  <si>
    <t>Indian lender comfort zone; sector-dependent</t>
  </si>
  <si>
    <t>Interest Coverage Ratio</t>
  </si>
  <si>
    <t>≥ 3.0x</t>
  </si>
  <si>
    <t>Below 1.5x is a lender red flag</t>
  </si>
  <si>
    <t>Total Outside Liabilities / Net Worth</t>
  </si>
  <si>
    <t>≤ 3.0x</t>
  </si>
  <si>
    <t>Standard Indian bank CMA/lending threshold</t>
  </si>
  <si>
    <t>Debtor Days (DSO)</t>
  </si>
  <si>
    <t>≤ 45 – 60 days</t>
  </si>
  <si>
    <t>Longer suggests collection issues</t>
  </si>
  <si>
    <t>Creditor Days (DPO)</t>
  </si>
  <si>
    <t>30 – 60 days</t>
  </si>
  <si>
    <t>Too high may signal cash stress, not just negotiating power</t>
  </si>
  <si>
    <t>Inventory Days (DIO)</t>
  </si>
  <si>
    <t>Sector-dependent — trading vs manufacturing differ widely</t>
  </si>
  <si>
    <t>Cash Conversion Cycle</t>
  </si>
  <si>
    <t>Lower is better</t>
  </si>
  <si>
    <t>Negative CCC is excellent (rare, mostly retail)</t>
  </si>
  <si>
    <t>Net Debt / EBITDA</t>
  </si>
  <si>
    <t>Key leverage metric lenders/rating agencies watch</t>
  </si>
  <si>
    <t>Total Debt / EBITDA (Gross)</t>
  </si>
  <si>
    <t>DSCR</t>
  </si>
  <si>
    <t>≥ 1.25x – 1.50x</t>
  </si>
  <si>
    <t>Below 1.25x is a lender red flag for term loans</t>
  </si>
  <si>
    <t>Fixed Asset Coverage Ratio</t>
  </si>
  <si>
    <t>≥ 1.25x</t>
  </si>
  <si>
    <t>Relevant for secured/asset-backed lending</t>
  </si>
  <si>
    <t>Proprietary Ratio</t>
  </si>
  <si>
    <t>≥ 40% – 50%</t>
  </si>
  <si>
    <t>% of assets funded by equity vs debt</t>
  </si>
  <si>
    <t>🎯  ALTMAN Z''-SCORE INTERPRETATION ZONES (Private/Non-Manufacturing)</t>
  </si>
  <si>
    <t>Zone</t>
  </si>
  <si>
    <t>Safe Zone</t>
  </si>
  <si>
    <t>&gt; 2.60</t>
  </si>
  <si>
    <t>Low probability of financial distress</t>
  </si>
  <si>
    <t>Grey Zone</t>
  </si>
  <si>
    <t>1.10 – 2.60</t>
  </si>
  <si>
    <t>Caution — monitor closely</t>
  </si>
  <si>
    <t>Distress Zone</t>
  </si>
  <si>
    <t>&lt; 1.10</t>
  </si>
  <si>
    <t>Elevated financial distress risk</t>
  </si>
  <si>
    <t>ℹ  Benchmarks are general SME/trading-business ranges — override for your specific sector. All editable.  |  © camsroy.com</t>
  </si>
  <si>
    <t>📈  camsroy.com  |  PROFIT &amp; LOSS INPUT  —  5-Year Actuals</t>
  </si>
  <si>
    <t>Paste or type your actual historical P&amp;L figures here. Blue cells = Input. Subtotals calculate automatically.</t>
  </si>
  <si>
    <t>Line Item (₹)</t>
  </si>
  <si>
    <t>FY22</t>
  </si>
  <si>
    <t>FY23</t>
  </si>
  <si>
    <t>FY24</t>
  </si>
  <si>
    <t>FY25</t>
  </si>
  <si>
    <t>FY26</t>
  </si>
  <si>
    <t>Revenue / Net Sales</t>
  </si>
  <si>
    <t>Cost of Goods Sold (COGS)</t>
  </si>
  <si>
    <t>Gross Profit</t>
  </si>
  <si>
    <t>Operating Expenses (SG&amp;A)</t>
  </si>
  <si>
    <t>EBITDA</t>
  </si>
  <si>
    <t>EBITDA Margin %</t>
  </si>
  <si>
    <t>Depreciation &amp; Amortisation</t>
  </si>
  <si>
    <t>EBIT</t>
  </si>
  <si>
    <t>Other Income (Non-Operating)</t>
  </si>
  <si>
    <t>Interest Expense</t>
  </si>
  <si>
    <t>Profit Before Tax (PBT)</t>
  </si>
  <si>
    <t>Tax</t>
  </si>
  <si>
    <t>Profit After Tax (PAT / Net Profit)</t>
  </si>
  <si>
    <t>Net Profit Margin %</t>
  </si>
  <si>
    <t>ℹ  Blue cells = Input. Gross Profit, EBITDA, EBIT, PBT, PAT, and margin rows calculate automatically. Tax uses a flat 25.17% (Sec 115BAA) . You can enter your tax amount manually— override if your actual filed tax differs.  |  © camsroy.com</t>
  </si>
  <si>
    <t>🏛  camsroy.com  |  BALANCE SHEET INPUT  —  5-Year Actuals</t>
  </si>
  <si>
    <t>Paste your actual historical Balance Sheet here. Blue cells = Input. The Balance Check row validates your entries.</t>
  </si>
  <si>
    <t>ASSETS</t>
  </si>
  <si>
    <t>Net Fixed Assets</t>
  </si>
  <si>
    <t>Other Non-Current Assets (Investments, CWIP, etc.)</t>
  </si>
  <si>
    <t>Cash &amp; Bank Balance</t>
  </si>
  <si>
    <t>Trade Receivables</t>
  </si>
  <si>
    <t>Inventory</t>
  </si>
  <si>
    <t>Other Current Assets</t>
  </si>
  <si>
    <t>TOTAL CURRENT ASSETS</t>
  </si>
  <si>
    <t>TOTAL ASSETS</t>
  </si>
  <si>
    <t>LIABILITIES &amp; EQUITY</t>
  </si>
  <si>
    <t>Share Capital</t>
  </si>
  <si>
    <t>Reserves &amp; Surplus</t>
  </si>
  <si>
    <t>TOTAL EQUITY</t>
  </si>
  <si>
    <t>Long-Term Debt</t>
  </si>
  <si>
    <t>Other Non-Current Liabilities (Provisions, Deferred Tax, etc.)</t>
  </si>
  <si>
    <t>Trade Payables</t>
  </si>
  <si>
    <t>Short-Term Borrowings</t>
  </si>
  <si>
    <t>Other Current Liabilities</t>
  </si>
  <si>
    <t>TOTAL CURRENT LIABILITIES</t>
  </si>
  <si>
    <t>TOTAL DEBT (LT + ST Borrowings)</t>
  </si>
  <si>
    <t>TOTAL LIABILITIES &amp; EQUITY</t>
  </si>
  <si>
    <t>⚠ Balance Check (Assets − Liab&amp;Eq, should be 0)</t>
  </si>
  <si>
    <t>ℹ  Blue cells = Input. If the Balance Check row doesn't show 0, your Assets and Liabilities+Equity entries don't tie out — recheck your figures before trusting the ratios below.  |  © camsroy.com</t>
  </si>
  <si>
    <t>💵  camsroy.com  |  CASH FLOW INPUT  —  5-Year Actuals (As Filed)</t>
  </si>
  <si>
    <t>Paste your actual historical Cash Flow Statement here. Blue cells = Input.</t>
  </si>
  <si>
    <t>CASH FLOW FROM OPERATING ACTIVITIES</t>
  </si>
  <si>
    <t>Net Cash from Operations (CFO)</t>
  </si>
  <si>
    <t>CASH FLOW FROM INVESTING ACTIVITIES</t>
  </si>
  <si>
    <t>Capital Expenditure</t>
  </si>
  <si>
    <t>Net Cash from Investing (CFI)</t>
  </si>
  <si>
    <t>CASH FLOW FROM FINANCING ACTIVITIES</t>
  </si>
  <si>
    <t>Fresh Debt Drawn</t>
  </si>
  <si>
    <t>Fresh Equity Raised</t>
  </si>
  <si>
    <t>Loan Repayment (Net)</t>
  </si>
  <si>
    <t>Interest Paid</t>
  </si>
  <si>
    <t>Dividend Paid</t>
  </si>
  <si>
    <t>Net Cash from Financing (CFF)</t>
  </si>
  <si>
    <t>NET CHANGE IN CASH</t>
  </si>
  <si>
    <t>ℹ  Blue cells = Input. Free Cash Flow (CFO − Capex) is computed automatically on the Ratio Analysis sheet.  |  © camsroy.com</t>
  </si>
  <si>
    <t>📊  camsroy.com  |  RATIO ANALYSIS  —  25+ Ratios: Formula, Meaning, 5-Year Trend &amp; Benchmark</t>
  </si>
  <si>
    <t>Fully derived from P&amp;L, Balance Sheet &amp; Cash Flow Input sheets. Remarks auto-generate based on trend vs prior year.</t>
  </si>
  <si>
    <t>Formula</t>
  </si>
  <si>
    <t>What It Denotes</t>
  </si>
  <si>
    <t>Industry
Benchmark</t>
  </si>
  <si>
    <t>Remarks</t>
  </si>
  <si>
    <t>💧  LIQUIDITY RATIOS</t>
  </si>
  <si>
    <t>Current Assets ÷ Current Liabilities</t>
  </si>
  <si>
    <t>Ability to pay short-term obligations using short-term assets.</t>
  </si>
  <si>
    <t>Quick Ratio (Acid Test)</t>
  </si>
  <si>
    <t>(Current Assets − Inventory) ÷ Current Liabilities</t>
  </si>
  <si>
    <t>Tougher liquidity test — excludes inventory, which isn't always quickly convertible to cash.</t>
  </si>
  <si>
    <t>Cash &amp; Bank ÷ Current Liabilities</t>
  </si>
  <si>
    <t>Most conservative liquidity measure — can obligations be met with cash on hand alone?</t>
  </si>
  <si>
    <t>📈  PROFITABILITY RATIOS</t>
  </si>
  <si>
    <t>Gross Profit ÷ Revenue</t>
  </si>
  <si>
    <t>Profitability after direct costs of goods sold — pricing power and production efficiency.</t>
  </si>
  <si>
    <t>EBITDA Margin</t>
  </si>
  <si>
    <t>EBITDA ÷ Revenue</t>
  </si>
  <si>
    <t>Core operating profitability before financing, tax, and non-cash charges.</t>
  </si>
  <si>
    <t>10% – 20%</t>
  </si>
  <si>
    <t>Net Profit (PAT) ÷ Revenue</t>
  </si>
  <si>
    <t>What share of every rupee of sales ends up as bottom-line profit.</t>
  </si>
  <si>
    <t>Return on Assets (ROA)</t>
  </si>
  <si>
    <t>Net Profit ÷ Total Assets</t>
  </si>
  <si>
    <t>How efficiently the company's total asset base generates profit.</t>
  </si>
  <si>
    <t>Net Profit ÷ Total Equity</t>
  </si>
  <si>
    <t>Return generated for shareholders on their invested capital.</t>
  </si>
  <si>
    <t>Return on Capital Employed (ROCE)</t>
  </si>
  <si>
    <t>EBIT ÷ (Total Assets − Current Liabilities)</t>
  </si>
  <si>
    <t>Return on ALL capital deployed (debt + equity) — should exceed the cost of borrowing.</t>
  </si>
  <si>
    <t>⚖  LEVERAGE / SOLVENCY RATIOS</t>
  </si>
  <si>
    <t>Debt : Equity Ratio</t>
  </si>
  <si>
    <t>Total Debt ÷ Total Equity</t>
  </si>
  <si>
    <t>How much the business relies on borrowed money vs owners' capital. Higher = more financial risk.</t>
  </si>
  <si>
    <t>Debt : Assets Ratio</t>
  </si>
  <si>
    <t>Total Debt ÷ Total Assets</t>
  </si>
  <si>
    <t>What proportion of the company's assets are funded by debt rather than equity.</t>
  </si>
  <si>
    <t>≤ 40% – 50%</t>
  </si>
  <si>
    <t>Interest Coverage Ratio (ICR)</t>
  </si>
  <si>
    <t>EBIT ÷ Interest Expense</t>
  </si>
  <si>
    <t>How many times over the company can pay its interest bill from operating profit. Below 1.5x is a lender red flag.</t>
  </si>
  <si>
    <t>(Long-Term Debt + Other Non-Current Liabilities + Total Current Liabilities) ÷ Total Equity</t>
  </si>
  <si>
    <t>Total Outside Liabilities to Net Worth — the standard Indian bank lending/CMA threshold ratio. Shown as 'Net Worth' rather than 'Tangible Net Worth' since this template doesn't separately identify and deduct intangible assets from Equity.</t>
  </si>
  <si>
    <t>🔄  EFFICIENCY / ACTIVITY RATIOS</t>
  </si>
  <si>
    <t>Inventory Turnover Ratio</t>
  </si>
  <si>
    <t>COGS ÷ Inventory</t>
  </si>
  <si>
    <t>How many times inventory is sold and replaced over the year. Higher generally means efficient stock management.</t>
  </si>
  <si>
    <t>Sector-dependent</t>
  </si>
  <si>
    <t>365 ÷ Inventory Turnover Ratio</t>
  </si>
  <si>
    <t>Average number of days stock sits before being sold. Lower is generally more efficient (ties up less cash).</t>
  </si>
  <si>
    <t>Receivables Turnover Ratio</t>
  </si>
  <si>
    <t>Revenue ÷ Trade Receivables</t>
  </si>
  <si>
    <t>How many times receivables are collected and re-generated over the year.</t>
  </si>
  <si>
    <t>365 ÷ Receivables Turnover Ratio</t>
  </si>
  <si>
    <t>Average number of days customers take to pay. Longer suggests collection issues or overly generous credit terms.</t>
  </si>
  <si>
    <t>Payables Turnover Ratio</t>
  </si>
  <si>
    <t>COGS ÷ Trade Payables</t>
  </si>
  <si>
    <t>How many times the company pays off its suppliers over the year.</t>
  </si>
  <si>
    <t>365 ÷ Payables Turnover Ratio</t>
  </si>
  <si>
    <t>Average number of days the company takes to pay its suppliers. Too high may signal cash stress, not just negotiating leverage.</t>
  </si>
  <si>
    <t>Cash Conversion Cycle (CCC)</t>
  </si>
  <si>
    <t>Inventory Days + Debtor Days − Creditor Days</t>
  </si>
  <si>
    <t>Total days cash is tied up in the operating cycle, from paying suppliers to collecting from customers. Lower (or negative) is better.</t>
  </si>
  <si>
    <t>Fixed Asset Turnover</t>
  </si>
  <si>
    <t>Revenue ÷ Net Fixed Assets</t>
  </si>
  <si>
    <t>How efficiently fixed assets (plant, equipment, property) generate sales.</t>
  </si>
  <si>
    <t>Total Asset Turnover</t>
  </si>
  <si>
    <t>Revenue ÷ Total Assets</t>
  </si>
  <si>
    <t>Overall efficiency of the entire asset base in generating revenue.</t>
  </si>
  <si>
    <t>💰  CASH FLOW RATIOS</t>
  </si>
  <si>
    <t>Operating Cash Flow Ratio</t>
  </si>
  <si>
    <t>CFO ÷ Current Liabilities</t>
  </si>
  <si>
    <t>Can operating cash flow alone cover short-term obligations — a stricter test than profit-based liquidity ratios.</t>
  </si>
  <si>
    <t>≥ 0.4x</t>
  </si>
  <si>
    <t>Cash Flow to Debt Ratio</t>
  </si>
  <si>
    <t>CFO ÷ Total Debt</t>
  </si>
  <si>
    <t>Measures the proportion of total debt that could theoretically be covered by one year's operating cash flow. Higher is generally stronger.</t>
  </si>
  <si>
    <t>≥ 0.2x</t>
  </si>
  <si>
    <t>Free Cash Flow (₹)</t>
  </si>
  <si>
    <t>CFO − Capital Expenditure</t>
  </si>
  <si>
    <t>Cash left over after funding operations and capex — available for debt repayment, dividends, or growth.</t>
  </si>
  <si>
    <t>Positive &amp; growing</t>
  </si>
  <si>
    <t>🏦  CREDIT &amp; LEVERAGE METRICS</t>
  </si>
  <si>
    <t>(Total Debt − Cash &amp; Bank) ÷ EBITDA</t>
  </si>
  <si>
    <t>How many years of current EBITDA it would take to pay off all debt, net of cash on hand. THE key leverage metric lenders and rating agencies watch.</t>
  </si>
  <si>
    <t>Total Debt ÷ EBITDA</t>
  </si>
  <si>
    <t>Same as Net Debt/EBITDA but without netting off cash — a more conservative gross leverage view.</t>
  </si>
  <si>
    <t>≤ 3.5x</t>
  </si>
  <si>
    <t>Debt Service Coverage Ratio (DSCR)</t>
  </si>
  <si>
    <t>(PAT + Depreciation + Interest Expense) ÷ (Cash Interest Paid + Principal Repayment)</t>
  </si>
  <si>
    <t>Measures the ability of earnings-based cash generation to cover scheduled interest and principal repayments. A higher DSCR generally indicates stronger debt-service capacity.</t>
  </si>
  <si>
    <t>Net Fixed Assets ÷ Long-Term Debt</t>
  </si>
  <si>
    <t>How well long-term secured lenders are covered by the fixed asset base — relevant for asset-backed/secured lending.</t>
  </si>
  <si>
    <t>Total Equity ÷ Total Assets</t>
  </si>
  <si>
    <t>What proportion of the company's total assets are funded by owners' capital rather than debt. Higher = more conservatively financed.</t>
  </si>
  <si>
    <t>🎯  camsroy.com  |  DUPONT ANALYSIS &amp; ALTMAN Z-SCORE</t>
  </si>
  <si>
    <t>DuPont shows WHY ROE moved. Z-Score is an early-warning indicator for financial distress.</t>
  </si>
  <si>
    <t>📐  DUPONT ANALYSIS — 3-Step ROE Decomposition</t>
  </si>
  <si>
    <t>ROE = Net Profit Margin × Asset Turnover × Equity Multiplier</t>
  </si>
  <si>
    <t>Component</t>
  </si>
  <si>
    <t>Net Profit Margin (%) — Profitability</t>
  </si>
  <si>
    <t>Asset Turnover (x) — Efficiency</t>
  </si>
  <si>
    <t>Equity Multiplier (x) — Leverage</t>
  </si>
  <si>
    <t>ROE (DuPont) = NPM × Asset Turnover × Equity Multiplier</t>
  </si>
  <si>
    <t>ROE (Direct calc) = Net Profit ÷ Equity — cross-check</t>
  </si>
  <si>
    <t>Cross-Check (should be ~0)</t>
  </si>
  <si>
    <t>ℹ  A rising ROE driven mainly by Equity Multiplier (leverage) is riskier than one driven by Margin or Turnover — DuPont shows you which lever is actually moving.</t>
  </si>
  <si>
    <t>🚨  ALTMAN Z''-SCORE — Financial Distress Early Warning (Private Company Model)</t>
  </si>
  <si>
    <t>Z'' = 6.56(X1) + 3.26(X2) + 6.72(X3) + 1.05(X4)  —  for private/non-manufacturing companies</t>
  </si>
  <si>
    <t>X1 = Working Capital ÷ Total Assets</t>
  </si>
  <si>
    <t>X2 = Retained Earnings ÷ Total Assets</t>
  </si>
  <si>
    <t>X3 = EBIT ÷ Total Assets</t>
  </si>
  <si>
    <t>X4 = Book Value of Equity ÷ Total Liabilities</t>
  </si>
  <si>
    <t>Altman Z''-Score</t>
  </si>
  <si>
    <t>ℹ  Z''-Score uses Book Value of Equity (not Market Value) — appropriate for private/unlisted companies. Zones: Safe &gt;2.60, Grey 1.10–2.60, Distress &lt;1.10.  |  © camsroy.com</t>
  </si>
  <si>
    <t>📊  camsroy.com  |  DASHBOARD  —  KPIs &amp; 5-Year Trends</t>
  </si>
  <si>
    <t>🎯  KPI SNAPSHOT (FY26 — Latest Year)</t>
  </si>
  <si>
    <t>Current Ratio (x)</t>
  </si>
  <si>
    <t>Return on Equity %</t>
  </si>
  <si>
    <t>Debt : Equity (x)</t>
  </si>
  <si>
    <t>Cash Conversion Cycle (days)</t>
  </si>
  <si>
    <t>📈  REVENUE &amp; NET PROFIT — 5-YEAR TREND (Chart Data)</t>
  </si>
  <si>
    <t>Year</t>
  </si>
  <si>
    <t>Revenue (₹)</t>
  </si>
  <si>
    <t>Net Profit (₹)</t>
  </si>
  <si>
    <t>📊  KEY RATIOS — 5-YEAR TREND (Chart Data)</t>
  </si>
  <si>
    <t>ROE %</t>
  </si>
  <si>
    <t>Debt:Equity</t>
  </si>
  <si>
    <t>🚦  TRAFFIC-LIGHT HEALTH SUMMARY (FY26 vs Benchmark)</t>
  </si>
  <si>
    <t>Category</t>
  </si>
  <si>
    <t>Status</t>
  </si>
  <si>
    <t>Liquidity (Current Ratio)</t>
  </si>
  <si>
    <t>Profitability (Net Margin)</t>
  </si>
  <si>
    <t>Leverage (Debt:Equity)</t>
  </si>
  <si>
    <t>Interest Coverage</t>
  </si>
  <si>
    <t>Distress Risk (Z-Score)</t>
  </si>
  <si>
    <t>🏦  CREDIT METRICS (FY26)</t>
  </si>
  <si>
    <t>Net Debt / EBITDA (x)</t>
  </si>
  <si>
    <t>DSCR (x)</t>
  </si>
  <si>
    <t>📊  camsroy.com  |  HOW TO USE  —  Financial Ratio Analysis Template</t>
  </si>
  <si>
    <t>STEP-BY-STEP GUIDE</t>
  </si>
  <si>
    <t xml:space="preserve">  Step 1 — SETUP Sheet</t>
  </si>
  <si>
    <t xml:space="preserve">  Review the industry benchmark ranges. These are general SME/trading-business figures — override them for your specific sector before relying on the Remarks column's interpretation.</t>
  </si>
  <si>
    <t xml:space="preserve">  Step 2 — P&amp;L INPUT, BALANCE SHEET INPUT, CASH FLOW INPUT</t>
  </si>
  <si>
    <t>Paste or type your actual 5-year historical figures into the blue cells on each sheet. These can come straight from your filed financials, audited statements, or accounting software export (Tally, Zoho Books, etc.). Each statement includes a few 'catch-all' lines (Other Income, Other Non-Current Assets/Liabilities, Interest Paid, Fresh Debt/Equity Raised) pre-built in — so if your actuals have an item these don't explicitly name, you likely already have a place to put it without needing to insert a row.</t>
  </si>
  <si>
    <t xml:space="preserve">  Step 3 — Check the Balance Sheet's 'Balance Check' Row</t>
  </si>
  <si>
    <t xml:space="preserve">    This must show 0 for every year. If it doesn't, your Assets and Liabilities+Equity entries don't tie out — fix your input figures before trusting anything downstream.</t>
  </si>
  <si>
    <t xml:space="preserve">  Step 4 — RATIO ANALYSIS Sheet (read-only, fully derived)</t>
  </si>
  <si>
    <t xml:space="preserve">    28+ ratios across Liquidity, Profitability, Leverage/Solvency, Efficiency, Cash Flow, and Credit &amp; Leverage Metrics (Net Debt/EBITDA, DSCR, and more). Each row shows the formula, what it means in plain English, all 5 years of values, the industry benchmark, and an auto-generated Remarks column comparing the latest year to the prior year.</t>
  </si>
  <si>
    <t xml:space="preserve">  Step 5 — DUPONT &amp; Z-SCORE Sheet</t>
  </si>
  <si>
    <t xml:space="preserve">    DuPont breaks ROE into three drivers (Margin × Turnover × Leverage) so you know WHY it moved, not just that it did. The Cross-Check row confirms the decomposition is mathematically exact. Altman Z''-Score is an early-warning indicator for financial distress, appropriate for private/unlisted companies.</t>
  </si>
  <si>
    <t xml:space="preserve">  Step 6 — DASHBOARD</t>
  </si>
  <si>
    <t xml:space="preserve">    KPI snapshot, 5-year trend charts, and a traffic-light health summary — the page to check first.</t>
  </si>
  <si>
    <t>WHAT EACH RATIO CATEGORY TELLS YOU</t>
  </si>
  <si>
    <t xml:space="preserve">    • Liquidity — Can the business pay its short-term bills?</t>
  </si>
  <si>
    <t xml:space="preserve">    • Profitability — Is the business making money, and how much per rupee of sales/assets/equity?</t>
  </si>
  <si>
    <t xml:space="preserve">    • Leverage/Solvency — How much does the business rely on debt, and can it safely service that debt?</t>
  </si>
  <si>
    <t xml:space="preserve">    • Efficiency/Activity — How well does the business manage inventory, collections, and payments?</t>
  </si>
  <si>
    <t xml:space="preserve">    • Cash Flow — Does profit actually turn into cash, not just accounting numbers?</t>
  </si>
  <si>
    <t xml:space="preserve">    • Credit &amp; Leverage Metrics — Net Debt/EBITDA, DSCR, and other lender-focused metrics banks specifically assess</t>
  </si>
  <si>
    <t>WHY THIS TEMPLATE IS DIFFERENT</t>
  </si>
  <si>
    <t xml:space="preserve">    • Every ratio ships with its formula AND plain-English meaning — most templates give you a bare number.</t>
  </si>
  <si>
    <t xml:space="preserve">    • Industry benchmark shown alongside every ratio — no need to look it up elsewhere.</t>
  </si>
  <si>
    <t xml:space="preserve">    • 5-year trend, not a single-period snapshot.</t>
  </si>
  <si>
    <t xml:space="preserve">    • Efficiency ratios (Debtor/Creditor/Inventory Days, Cash Conversion Cycle) — most free templates skip these.</t>
  </si>
  <si>
    <t xml:space="preserve">    • DuPont Analysis and Altman Z-Score — genuine differentiators most free competitors don't include.</t>
  </si>
  <si>
    <t xml:space="preserve">    • Auto-generated Remarks — plain-language interpretation of whether each ratio improved or declined.</t>
  </si>
  <si>
    <t>METHODOLOGY NOTES</t>
  </si>
  <si>
    <t xml:space="preserve">    • All Balance-Sheet-based ratios use CLOSING (year-end) balances, not averages — a common, defensible simplification, especially for the first year of data where no prior-year opening balance exists.</t>
  </si>
  <si>
    <t xml:space="preserve">    • Days-based ratios (DSO/DPO/DIO) use 365 days. Some practitioners use 360 — the difference is immaterial for interpretation.</t>
  </si>
  <si>
    <t xml:space="preserve">    • The Altman Z''-Score model uses Book Value of Equity (not Market Value), appropriate for private/unlisted companies without a traded share price.</t>
  </si>
  <si>
    <t xml:space="preserve">    • Remarks compare only the latest year vs the prior year — review the full 5-year column for genuine trend context, not just the single comparison.</t>
  </si>
  <si>
    <t>MORE FREE TEMPLATES — camsroy.com</t>
  </si>
  <si>
    <t xml:space="preserve">    Visit www.camsroy.com/resources/templates for Budget vs Actual, AR &amp; AP Tracker, Payroll &amp; Salary Register, Inventory &amp; Stock Management, Break-Even Analysis, and the Linked 3-Statement Model.</t>
  </si>
  <si>
    <t>© 2025 camsroy.com  |  Free for personal and commercial use  |  Not a substitute for professional financial advisory  |  www.camsroy.com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</si>
</sst>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0\x"/>
    <numFmt numFmtId="166" formatCode="0.0"/>
    <numFmt numFmtId="167" formatCode="0.000"/>
  </numFmts>
  <fonts count="36" x14ac:knownFonts="1">
    <font>
      <sz val="11"/>
      <color theme="1"/>
      <name val="Calibri"/>
      <family val="2"/>
      <charset val="1"/>
    </font>
    <font>
      <sz val="11"/>
      <color theme="1"/>
      <name val="Times New Roman"/>
      <family val="1"/>
      <charset val="1"/>
    </font>
    <font>
      <b/>
      <sz val="22"/>
      <color rgb="FFFFFFFF"/>
      <name val="Times New Roman"/>
      <family val="1"/>
      <charset val="1"/>
    </font>
    <font>
      <b/>
      <i/>
      <sz val="9"/>
      <color rgb="FFF3E5F5"/>
      <name val="Times New Roman"/>
      <family val="1"/>
      <charset val="1"/>
    </font>
    <font>
      <b/>
      <sz val="20"/>
      <color rgb="FFFFFFFF"/>
      <name val="Times New Roman"/>
      <family val="1"/>
      <charset val="1"/>
    </font>
    <font>
      <b/>
      <sz val="13"/>
      <color rgb="FFAED6F1"/>
      <name val="Times New Roman"/>
      <family val="1"/>
      <charset val="1"/>
    </font>
    <font>
      <i/>
      <sz val="10"/>
      <color rgb="FFD7BDE2"/>
      <name val="Times New Roman"/>
      <family val="1"/>
      <charset val="1"/>
    </font>
    <font>
      <sz val="11"/>
      <color theme="5" tint="0.59987182226020086"/>
      <name val="Times New Roman"/>
      <family val="1"/>
      <charset val="1"/>
    </font>
    <font>
      <sz val="10"/>
      <color rgb="FFAED6F1"/>
      <name val="Times New Roman"/>
      <family val="1"/>
      <charset val="1"/>
    </font>
    <font>
      <b/>
      <sz val="10"/>
      <color rgb="FFFFFFFF"/>
      <name val="Times New Roman"/>
      <family val="1"/>
      <charset val="1"/>
    </font>
    <font>
      <b/>
      <sz val="11"/>
      <color rgb="FFAED6F1"/>
      <name val="Times New Roman"/>
      <family val="1"/>
      <charset val="1"/>
    </font>
    <font>
      <sz val="11"/>
      <color rgb="FFD4AC0D"/>
      <name val="Times New Roman"/>
      <family val="1"/>
      <charset val="1"/>
    </font>
    <font>
      <sz val="9"/>
      <color rgb="FFBDC3C7"/>
      <name val="Times New Roman"/>
      <family val="1"/>
      <charset val="1"/>
    </font>
    <font>
      <b/>
      <sz val="10"/>
      <color rgb="FFAED6F1"/>
      <name val="Times New Roman"/>
      <family val="1"/>
      <charset val="1"/>
    </font>
    <font>
      <b/>
      <sz val="10"/>
      <color rgb="FFD4AC0D"/>
      <name val="Times New Roman"/>
      <family val="1"/>
      <charset val="1"/>
    </font>
    <font>
      <b/>
      <sz val="9"/>
      <color rgb="FFD4AC0D"/>
      <name val="Times New Roman"/>
      <family val="1"/>
      <charset val="1"/>
    </font>
    <font>
      <sz val="8"/>
      <color rgb="FF7F8C8D"/>
      <name val="Times New Roman"/>
      <family val="1"/>
      <charset val="1"/>
    </font>
    <font>
      <b/>
      <sz val="12"/>
      <color rgb="FFFFFFFF"/>
      <name val="Times New Roman"/>
      <family val="1"/>
      <charset val="1"/>
    </font>
    <font>
      <i/>
      <sz val="9"/>
      <color rgb="FF555555"/>
      <name val="Times New Roman"/>
      <family val="1"/>
      <charset val="1"/>
    </font>
    <font>
      <sz val="10"/>
      <color rgb="FF0D1B2A"/>
      <name val="Times New Roman"/>
      <family val="1"/>
      <charset val="1"/>
    </font>
    <font>
      <b/>
      <sz val="10"/>
      <color rgb="FF0000FF"/>
      <name val="Times New Roman"/>
      <family val="1"/>
      <charset val="1"/>
    </font>
    <font>
      <i/>
      <sz val="10"/>
      <color rgb="FF555555"/>
      <name val="Times New Roman"/>
      <family val="1"/>
      <charset val="1"/>
    </font>
    <font>
      <sz val="10"/>
      <color theme="1"/>
      <name val="Times New Roman"/>
      <family val="1"/>
      <charset val="1"/>
    </font>
    <font>
      <i/>
      <sz val="8"/>
      <color rgb="FF555555"/>
      <name val="Times New Roman"/>
      <family val="1"/>
      <charset val="1"/>
    </font>
    <font>
      <b/>
      <sz val="9"/>
      <color rgb="FFFFFFFF"/>
      <name val="Times New Roman"/>
      <family val="1"/>
      <charset val="1"/>
    </font>
    <font>
      <sz val="9"/>
      <color rgb="FF0D1B2A"/>
      <name val="Times New Roman"/>
      <family val="1"/>
      <charset val="1"/>
    </font>
    <font>
      <sz val="9"/>
      <color rgb="FF0000FF"/>
      <name val="Times New Roman"/>
      <family val="1"/>
      <charset val="1"/>
    </font>
    <font>
      <b/>
      <sz val="9"/>
      <color rgb="FF117A65"/>
      <name val="Times New Roman"/>
      <family val="1"/>
      <charset val="1"/>
    </font>
    <font>
      <b/>
      <sz val="9"/>
      <color rgb="FF0D1B2A"/>
      <name val="Times New Roman"/>
      <family val="1"/>
      <charset val="1"/>
    </font>
    <font>
      <sz val="9"/>
      <color rgb="FF382EFA"/>
      <name val="Times New Roman"/>
      <family val="1"/>
      <charset val="1"/>
    </font>
    <font>
      <b/>
      <sz val="9"/>
      <color rgb="FFA04000"/>
      <name val="Times New Roman"/>
      <family val="1"/>
      <charset val="1"/>
    </font>
    <font>
      <i/>
      <sz val="8"/>
      <color rgb="FF1A237E"/>
      <name val="Times New Roman"/>
      <family val="1"/>
      <charset val="1"/>
    </font>
    <font>
      <i/>
      <sz val="8"/>
      <color rgb="FF7D6608"/>
      <name val="Times New Roman"/>
      <family val="1"/>
      <charset val="1"/>
    </font>
    <font>
      <sz val="8"/>
      <color rgb="FF0D1B2A"/>
      <name val="Times New Roman"/>
      <family val="1"/>
      <charset val="1"/>
    </font>
    <font>
      <b/>
      <sz val="10"/>
      <color rgb="FF0D1B2A"/>
      <name val="Times New Roman"/>
      <family val="1"/>
      <charset val="1"/>
    </font>
    <font>
      <i/>
      <sz val="8"/>
      <color rgb="FF888888"/>
      <name val="Times New Roman"/>
      <family val="1"/>
      <charset val="1"/>
    </font>
  </fonts>
  <fills count="14">
    <fill>
      <patternFill patternType="none"/>
    </fill>
    <fill>
      <patternFill patternType="gray125"/>
    </fill>
    <fill>
      <patternFill patternType="solid">
        <fgColor rgb="FF0D1B2A"/>
        <bgColor rgb="FF000000"/>
      </patternFill>
    </fill>
    <fill>
      <patternFill patternType="solid">
        <fgColor rgb="FF6C3483"/>
        <bgColor rgb="FF993366"/>
      </patternFill>
    </fill>
    <fill>
      <patternFill patternType="solid">
        <fgColor rgb="FFD6EAF8"/>
        <bgColor rgb="FFD5F5E3"/>
      </patternFill>
    </fill>
    <fill>
      <patternFill patternType="solid">
        <fgColor rgb="FFD5F5E3"/>
        <bgColor rgb="FFD6EAF8"/>
      </patternFill>
    </fill>
    <fill>
      <patternFill patternType="solid">
        <fgColor rgb="FFFDEDEC"/>
        <bgColor rgb="FFF2F3F4"/>
      </patternFill>
    </fill>
    <fill>
      <patternFill patternType="solid">
        <fgColor rgb="FFFCF3CF"/>
        <bgColor rgb="FFFDEDEC"/>
      </patternFill>
    </fill>
    <fill>
      <patternFill patternType="solid">
        <fgColor rgb="FFF2F3F4"/>
        <bgColor rgb="FFFDEDEC"/>
      </patternFill>
    </fill>
    <fill>
      <patternFill patternType="solid">
        <fgColor rgb="FF117A65"/>
        <bgColor rgb="FF008080"/>
      </patternFill>
    </fill>
    <fill>
      <patternFill patternType="solid">
        <fgColor rgb="FF1B4F72"/>
        <bgColor rgb="FF333333"/>
      </patternFill>
    </fill>
    <fill>
      <patternFill patternType="solid">
        <fgColor rgb="FFA04000"/>
        <bgColor rgb="FF7D6608"/>
      </patternFill>
    </fill>
    <fill>
      <patternFill patternType="solid">
        <fgColor rgb="FFFAE5D3"/>
        <bgColor rgb="FFFDEDEC"/>
      </patternFill>
    </fill>
    <fill>
      <patternFill patternType="solid">
        <fgColor rgb="FFD4AC0D"/>
        <bgColor rgb="FFE67E22"/>
      </patternFill>
    </fill>
  </fills>
  <borders count="6">
    <border>
      <left/>
      <right/>
      <top/>
      <bottom/>
      <diagonal/>
    </border>
    <border>
      <left/>
      <right/>
      <top/>
      <bottom style="thin">
        <color rgb="FF2E86C1"/>
      </bottom>
      <diagonal/>
    </border>
    <border>
      <left style="thin">
        <color rgb="FFBDBDBD"/>
      </left>
      <right style="thin">
        <color rgb="FFBDBDBD"/>
      </right>
      <top style="thin">
        <color rgb="FFBDBDBD"/>
      </top>
      <bottom style="thin">
        <color rgb="FFBDBDBD"/>
      </bottom>
      <diagonal/>
    </border>
    <border>
      <left/>
      <right/>
      <top/>
      <bottom style="thin">
        <color rgb="FFBDBDBD"/>
      </bottom>
      <diagonal/>
    </border>
    <border>
      <left/>
      <right/>
      <top/>
      <bottom style="medium">
        <color rgb="FF0D1B2A"/>
      </bottom>
      <diagonal/>
    </border>
    <border>
      <left/>
      <right/>
      <top style="medium">
        <color rgb="FF0D1B2A"/>
      </top>
      <bottom/>
      <diagonal/>
    </border>
  </borders>
  <cellStyleXfs count="1">
    <xf numFmtId="0" fontId="0" fillId="0" borderId="0"/>
  </cellStyleXfs>
  <cellXfs count="113">
    <xf numFmtId="0" fontId="0" fillId="0" borderId="0" xfId="0"/>
    <xf numFmtId="0" fontId="9" fillId="3" borderId="0" xfId="0" applyFont="1" applyFill="1" applyAlignment="1">
      <alignment horizontal="left" vertical="center" wrapText="1" indent="1"/>
    </xf>
    <xf numFmtId="0" fontId="28" fillId="7" borderId="2" xfId="0" applyFont="1" applyFill="1" applyBorder="1" applyAlignment="1">
      <alignment horizontal="center" vertical="center" wrapText="1"/>
    </xf>
    <xf numFmtId="0" fontId="34" fillId="13" borderId="0" xfId="0" applyFont="1" applyFill="1" applyAlignment="1">
      <alignment horizontal="left" vertical="center" wrapText="1" indent="1"/>
    </xf>
    <xf numFmtId="0" fontId="9" fillId="11" borderId="0" xfId="0" applyFont="1" applyFill="1" applyAlignment="1">
      <alignment horizontal="left" vertical="center" wrapText="1" indent="1"/>
    </xf>
    <xf numFmtId="0" fontId="9" fillId="9" borderId="0" xfId="0" applyFont="1" applyFill="1" applyAlignment="1">
      <alignment horizontal="left" vertical="center" wrapText="1" indent="1"/>
    </xf>
    <xf numFmtId="3" fontId="34" fillId="5" borderId="2" xfId="0" applyNumberFormat="1" applyFont="1" applyFill="1" applyBorder="1" applyAlignment="1">
      <alignment horizontal="right" vertical="center"/>
    </xf>
    <xf numFmtId="2" fontId="34" fillId="13" borderId="2" xfId="0" applyNumberFormat="1" applyFont="1" applyFill="1" applyBorder="1" applyAlignment="1">
      <alignment horizontal="right" vertical="center"/>
    </xf>
    <xf numFmtId="166" fontId="34" fillId="12" borderId="2" xfId="0" applyNumberFormat="1" applyFont="1" applyFill="1" applyBorder="1" applyAlignment="1">
      <alignment horizontal="right" vertical="center"/>
    </xf>
    <xf numFmtId="165" fontId="34" fillId="4" borderId="2" xfId="0" applyNumberFormat="1" applyFont="1" applyFill="1" applyBorder="1" applyAlignment="1">
      <alignment horizontal="right" vertical="center"/>
    </xf>
    <xf numFmtId="164" fontId="34" fillId="13" borderId="2" xfId="0" applyNumberFormat="1" applyFont="1" applyFill="1" applyBorder="1" applyAlignment="1">
      <alignment horizontal="right" vertical="center"/>
    </xf>
    <xf numFmtId="164" fontId="34" fillId="5" borderId="2" xfId="0" applyNumberFormat="1" applyFont="1" applyFill="1" applyBorder="1" applyAlignment="1">
      <alignment horizontal="right" vertical="center"/>
    </xf>
    <xf numFmtId="165" fontId="34" fillId="5" borderId="2" xfId="0" applyNumberFormat="1" applyFont="1" applyFill="1" applyBorder="1" applyAlignment="1">
      <alignment horizontal="right" vertical="center"/>
    </xf>
    <xf numFmtId="0" fontId="9" fillId="10" borderId="0" xfId="0" applyFont="1" applyFill="1" applyAlignment="1">
      <alignment horizontal="left" vertical="center" wrapText="1" indent="1"/>
    </xf>
    <xf numFmtId="0" fontId="17" fillId="2" borderId="0" xfId="0" applyFont="1" applyFill="1" applyAlignment="1">
      <alignment horizontal="left" vertical="center" wrapText="1" indent="1"/>
    </xf>
    <xf numFmtId="0" fontId="1" fillId="0" borderId="0" xfId="0" applyFont="1"/>
    <xf numFmtId="0" fontId="9" fillId="10" borderId="2" xfId="0" applyFont="1" applyFill="1" applyBorder="1" applyAlignment="1">
      <alignment horizontal="center" vertical="center" wrapText="1"/>
    </xf>
    <xf numFmtId="0" fontId="19" fillId="8" borderId="2" xfId="0" applyFont="1" applyFill="1" applyBorder="1" applyAlignment="1">
      <alignment horizontal="left" vertical="center" wrapText="1" indent="1"/>
    </xf>
    <xf numFmtId="0" fontId="20" fillId="4" borderId="2" xfId="0" applyFont="1" applyFill="1" applyBorder="1" applyAlignment="1">
      <alignment horizontal="center" vertical="center" wrapText="1"/>
    </xf>
    <xf numFmtId="0" fontId="21" fillId="8" borderId="2" xfId="0" applyFont="1" applyFill="1" applyBorder="1" applyAlignment="1">
      <alignment horizontal="left" vertical="center" wrapText="1" indent="1"/>
    </xf>
    <xf numFmtId="0" fontId="22" fillId="0" borderId="0" xfId="0" applyFont="1"/>
    <xf numFmtId="0" fontId="24" fillId="2" borderId="2" xfId="0" applyFont="1" applyFill="1" applyBorder="1" applyAlignment="1">
      <alignment horizontal="left" vertical="center" wrapText="1" indent="1"/>
    </xf>
    <xf numFmtId="0" fontId="24" fillId="2" borderId="2" xfId="0" applyFont="1" applyFill="1" applyBorder="1" applyAlignment="1">
      <alignment horizontal="center" vertical="center" wrapText="1"/>
    </xf>
    <xf numFmtId="0" fontId="25" fillId="4" borderId="2" xfId="0" applyFont="1" applyFill="1" applyBorder="1" applyAlignment="1">
      <alignment horizontal="left" vertical="center" wrapText="1" indent="1"/>
    </xf>
    <xf numFmtId="3" fontId="26" fillId="4" borderId="2" xfId="0" applyNumberFormat="1" applyFont="1" applyFill="1" applyBorder="1" applyAlignment="1">
      <alignment horizontal="right" vertical="center"/>
    </xf>
    <xf numFmtId="0" fontId="27" fillId="5" borderId="2" xfId="0" applyFont="1" applyFill="1" applyBorder="1" applyAlignment="1">
      <alignment horizontal="left" vertical="center" wrapText="1" indent="1"/>
    </xf>
    <xf numFmtId="3" fontId="27" fillId="5" borderId="2" xfId="0" applyNumberFormat="1" applyFont="1" applyFill="1" applyBorder="1" applyAlignment="1">
      <alignment horizontal="right" vertical="center"/>
    </xf>
    <xf numFmtId="0" fontId="9" fillId="9" borderId="2" xfId="0" applyFont="1" applyFill="1" applyBorder="1" applyAlignment="1">
      <alignment horizontal="left" vertical="center" wrapText="1" indent="1"/>
    </xf>
    <xf numFmtId="3" fontId="9" fillId="9" borderId="2" xfId="0" applyNumberFormat="1" applyFont="1" applyFill="1" applyBorder="1" applyAlignment="1">
      <alignment horizontal="right" vertical="center"/>
    </xf>
    <xf numFmtId="0" fontId="18" fillId="8" borderId="2" xfId="0" applyFont="1" applyFill="1" applyBorder="1" applyAlignment="1">
      <alignment horizontal="left" vertical="center" wrapText="1" indent="1"/>
    </xf>
    <xf numFmtId="164" fontId="18" fillId="8" borderId="2" xfId="0" applyNumberFormat="1" applyFont="1" applyFill="1" applyBorder="1" applyAlignment="1">
      <alignment horizontal="right" vertical="center"/>
    </xf>
    <xf numFmtId="0" fontId="28" fillId="8" borderId="2" xfId="0" applyFont="1" applyFill="1" applyBorder="1" applyAlignment="1">
      <alignment horizontal="left" vertical="center" wrapText="1" indent="1"/>
    </xf>
    <xf numFmtId="3" fontId="28" fillId="8" borderId="2" xfId="0" applyNumberFormat="1" applyFont="1" applyFill="1" applyBorder="1" applyAlignment="1">
      <alignment horizontal="right" vertical="center"/>
    </xf>
    <xf numFmtId="0" fontId="25" fillId="12" borderId="2" xfId="0" applyFont="1" applyFill="1" applyBorder="1" applyAlignment="1">
      <alignment horizontal="left" vertical="center" wrapText="1" indent="1"/>
    </xf>
    <xf numFmtId="3" fontId="26" fillId="12" borderId="2" xfId="0" applyNumberFormat="1" applyFont="1" applyFill="1" applyBorder="1" applyAlignment="1">
      <alignment horizontal="right" vertical="center"/>
    </xf>
    <xf numFmtId="3" fontId="29" fillId="12" borderId="2" xfId="0" applyNumberFormat="1" applyFont="1" applyFill="1" applyBorder="1" applyAlignment="1">
      <alignment horizontal="right" vertical="center"/>
    </xf>
    <xf numFmtId="0" fontId="9" fillId="3" borderId="2" xfId="0" applyFont="1" applyFill="1" applyBorder="1" applyAlignment="1">
      <alignment horizontal="left" vertical="center" wrapText="1" indent="1"/>
    </xf>
    <xf numFmtId="3" fontId="9" fillId="3" borderId="2" xfId="0" applyNumberFormat="1" applyFont="1" applyFill="1" applyBorder="1" applyAlignment="1">
      <alignment horizontal="right" vertical="center"/>
    </xf>
    <xf numFmtId="0" fontId="9" fillId="11" borderId="0" xfId="0" applyFont="1" applyFill="1" applyAlignment="1">
      <alignment horizontal="left" vertical="center" wrapText="1" indent="1"/>
    </xf>
    <xf numFmtId="0" fontId="25" fillId="7" borderId="2" xfId="0" applyFont="1" applyFill="1" applyBorder="1" applyAlignment="1">
      <alignment horizontal="left" vertical="center" wrapText="1" indent="1"/>
    </xf>
    <xf numFmtId="3" fontId="26" fillId="7" borderId="2" xfId="0" applyNumberFormat="1" applyFont="1" applyFill="1" applyBorder="1" applyAlignment="1">
      <alignment horizontal="right" vertical="center"/>
    </xf>
    <xf numFmtId="0" fontId="30" fillId="12" borderId="2" xfId="0" applyFont="1" applyFill="1" applyBorder="1" applyAlignment="1">
      <alignment horizontal="left" vertical="center" wrapText="1" indent="1"/>
    </xf>
    <xf numFmtId="3" fontId="30" fillId="12" borderId="2" xfId="0" applyNumberFormat="1" applyFont="1" applyFill="1" applyBorder="1" applyAlignment="1">
      <alignment horizontal="right" vertical="center"/>
    </xf>
    <xf numFmtId="0" fontId="9" fillId="11" borderId="2" xfId="0" applyFont="1" applyFill="1" applyBorder="1" applyAlignment="1">
      <alignment horizontal="left" vertical="center" wrapText="1" indent="1"/>
    </xf>
    <xf numFmtId="3" fontId="9" fillId="11" borderId="2" xfId="0" applyNumberFormat="1" applyFont="1" applyFill="1" applyBorder="1" applyAlignment="1">
      <alignment horizontal="right" vertical="center"/>
    </xf>
    <xf numFmtId="0" fontId="28" fillId="13" borderId="2" xfId="0" applyFont="1" applyFill="1" applyBorder="1" applyAlignment="1">
      <alignment horizontal="left" vertical="center" wrapText="1" indent="1"/>
    </xf>
    <xf numFmtId="3" fontId="28" fillId="13" borderId="2" xfId="0" applyNumberFormat="1" applyFont="1" applyFill="1" applyBorder="1" applyAlignment="1">
      <alignment horizontal="right" vertical="center"/>
    </xf>
    <xf numFmtId="0" fontId="24" fillId="11" borderId="2" xfId="0" applyFont="1" applyFill="1" applyBorder="1" applyAlignment="1">
      <alignment horizontal="left" vertical="center" wrapText="1" indent="1"/>
    </xf>
    <xf numFmtId="3" fontId="24" fillId="11" borderId="2" xfId="0" applyNumberFormat="1" applyFont="1" applyFill="1" applyBorder="1" applyAlignment="1">
      <alignment horizontal="right" vertical="center"/>
    </xf>
    <xf numFmtId="0" fontId="24" fillId="3" borderId="2" xfId="0" applyFont="1" applyFill="1" applyBorder="1" applyAlignment="1">
      <alignment horizontal="left" vertical="center" wrapText="1" indent="1"/>
    </xf>
    <xf numFmtId="3" fontId="24" fillId="3" borderId="2" xfId="0" applyNumberFormat="1" applyFont="1" applyFill="1" applyBorder="1" applyAlignment="1">
      <alignment horizontal="right" vertical="center"/>
    </xf>
    <xf numFmtId="0" fontId="9" fillId="2" borderId="2" xfId="0" applyFont="1" applyFill="1" applyBorder="1" applyAlignment="1">
      <alignment horizontal="left" vertical="center" wrapText="1" indent="1"/>
    </xf>
    <xf numFmtId="3" fontId="9" fillId="2" borderId="2" xfId="0" applyNumberFormat="1" applyFont="1" applyFill="1" applyBorder="1" applyAlignment="1">
      <alignment horizontal="right" vertical="center"/>
    </xf>
    <xf numFmtId="0" fontId="31" fillId="8" borderId="2" xfId="0" applyFont="1" applyFill="1" applyBorder="1" applyAlignment="1">
      <alignment horizontal="left" vertical="center" wrapText="1" indent="1"/>
    </xf>
    <xf numFmtId="0" fontId="23" fillId="8" borderId="2" xfId="0" applyFont="1" applyFill="1" applyBorder="1" applyAlignment="1">
      <alignment horizontal="left" vertical="center" wrapText="1" indent="1"/>
    </xf>
    <xf numFmtId="165" fontId="25" fillId="4" borderId="2" xfId="0" applyNumberFormat="1" applyFont="1" applyFill="1" applyBorder="1" applyAlignment="1">
      <alignment horizontal="right" vertical="center"/>
    </xf>
    <xf numFmtId="0" fontId="32" fillId="7" borderId="2" xfId="0" applyFont="1" applyFill="1" applyBorder="1" applyAlignment="1">
      <alignment horizontal="center" vertical="center" wrapText="1"/>
    </xf>
    <xf numFmtId="0" fontId="33" fillId="8" borderId="2" xfId="0" applyFont="1" applyFill="1" applyBorder="1" applyAlignment="1">
      <alignment horizontal="left" vertical="center" wrapText="1" indent="1"/>
    </xf>
    <xf numFmtId="164" fontId="25" fillId="4" borderId="2" xfId="0" applyNumberFormat="1" applyFont="1" applyFill="1" applyBorder="1" applyAlignment="1">
      <alignment horizontal="right" vertical="center"/>
    </xf>
    <xf numFmtId="166" fontId="25" fillId="4" borderId="2" xfId="0" applyNumberFormat="1" applyFont="1" applyFill="1" applyBorder="1" applyAlignment="1">
      <alignment horizontal="right" vertical="center"/>
    </xf>
    <xf numFmtId="3" fontId="25" fillId="4" borderId="2" xfId="0" applyNumberFormat="1" applyFont="1" applyFill="1" applyBorder="1" applyAlignment="1">
      <alignment horizontal="right" vertical="center"/>
    </xf>
    <xf numFmtId="164" fontId="9" fillId="9" borderId="2" xfId="0" applyNumberFormat="1" applyFont="1" applyFill="1" applyBorder="1" applyAlignment="1">
      <alignment horizontal="right" vertical="center"/>
    </xf>
    <xf numFmtId="164" fontId="23" fillId="8" borderId="2" xfId="0" applyNumberFormat="1" applyFont="1" applyFill="1" applyBorder="1" applyAlignment="1">
      <alignment horizontal="right" vertical="center"/>
    </xf>
    <xf numFmtId="0" fontId="23" fillId="7" borderId="2" xfId="0" applyFont="1" applyFill="1" applyBorder="1" applyAlignment="1">
      <alignment horizontal="left" vertical="center" wrapText="1" indent="1"/>
    </xf>
    <xf numFmtId="164" fontId="23" fillId="7" borderId="2" xfId="0" applyNumberFormat="1" applyFont="1" applyFill="1" applyBorder="1" applyAlignment="1">
      <alignment horizontal="right" vertical="center"/>
    </xf>
    <xf numFmtId="167" fontId="25" fillId="4" borderId="2" xfId="0" applyNumberFormat="1" applyFont="1" applyFill="1" applyBorder="1" applyAlignment="1">
      <alignment horizontal="right" vertical="center"/>
    </xf>
    <xf numFmtId="2" fontId="9" fillId="11" borderId="2" xfId="0" applyNumberFormat="1" applyFont="1" applyFill="1" applyBorder="1" applyAlignment="1">
      <alignment horizontal="right" vertical="center"/>
    </xf>
    <xf numFmtId="0" fontId="28" fillId="13" borderId="2" xfId="0" applyFont="1" applyFill="1" applyBorder="1" applyAlignment="1">
      <alignment horizontal="center" vertical="center" wrapText="1"/>
    </xf>
    <xf numFmtId="0" fontId="25" fillId="8" borderId="2" xfId="0" applyFont="1" applyFill="1" applyBorder="1" applyAlignment="1">
      <alignment horizontal="left" vertical="center" wrapText="1" indent="1"/>
    </xf>
    <xf numFmtId="0" fontId="24" fillId="10" borderId="2" xfId="0" applyFont="1" applyFill="1" applyBorder="1" applyAlignment="1">
      <alignment horizontal="center" vertical="center" wrapText="1"/>
    </xf>
    <xf numFmtId="0" fontId="25" fillId="8" borderId="2" xfId="0" applyFont="1" applyFill="1" applyBorder="1" applyAlignment="1">
      <alignment horizontal="center" vertical="center" wrapText="1"/>
    </xf>
    <xf numFmtId="3" fontId="25" fillId="8" borderId="2" xfId="0" applyNumberFormat="1" applyFont="1" applyFill="1" applyBorder="1" applyAlignment="1">
      <alignment horizontal="right" vertical="center"/>
    </xf>
    <xf numFmtId="2" fontId="25" fillId="8" borderId="2" xfId="0" applyNumberFormat="1" applyFont="1" applyFill="1" applyBorder="1" applyAlignment="1">
      <alignment horizontal="right" vertical="center"/>
    </xf>
    <xf numFmtId="164" fontId="25" fillId="8" borderId="2" xfId="0" applyNumberFormat="1" applyFont="1" applyFill="1" applyBorder="1" applyAlignment="1">
      <alignment horizontal="right" vertical="center"/>
    </xf>
    <xf numFmtId="165" fontId="34" fillId="13" borderId="2" xfId="0" applyNumberFormat="1" applyFont="1" applyFill="1" applyBorder="1" applyAlignment="1">
      <alignment horizontal="right" vertical="center"/>
    </xf>
    <xf numFmtId="0" fontId="18" fillId="8" borderId="0" xfId="0" applyFont="1" applyFill="1" applyAlignment="1">
      <alignment horizontal="left" vertical="center" wrapText="1" indent="1"/>
    </xf>
    <xf numFmtId="0" fontId="9" fillId="9" borderId="0" xfId="0" applyFont="1" applyFill="1" applyAlignment="1">
      <alignment horizontal="center" vertical="center" wrapText="1"/>
    </xf>
    <xf numFmtId="0" fontId="19" fillId="8" borderId="2" xfId="0" applyFont="1" applyFill="1" applyBorder="1" applyAlignment="1">
      <alignment horizontal="left" vertical="center" wrapText="1" indent="1"/>
    </xf>
    <xf numFmtId="0" fontId="9" fillId="11" borderId="3" xfId="0" applyFont="1" applyFill="1" applyBorder="1" applyAlignment="1">
      <alignment horizontal="center" vertical="center" wrapText="1"/>
    </xf>
    <xf numFmtId="0" fontId="9" fillId="10" borderId="2" xfId="0" applyFont="1" applyFill="1" applyBorder="1" applyAlignment="1">
      <alignment horizontal="center" vertical="center" wrapText="1"/>
    </xf>
    <xf numFmtId="0" fontId="23" fillId="8" borderId="0" xfId="0" applyFont="1" applyFill="1" applyAlignment="1">
      <alignment horizontal="left" vertical="center" wrapText="1"/>
    </xf>
    <xf numFmtId="0" fontId="1" fillId="0" borderId="0" xfId="0" applyFont="1"/>
    <xf numFmtId="0" fontId="23" fillId="8" borderId="0" xfId="0" applyFont="1" applyFill="1" applyAlignment="1">
      <alignment horizontal="left" vertical="center" wrapText="1" indent="1"/>
    </xf>
    <xf numFmtId="0" fontId="34" fillId="8" borderId="4" xfId="0" applyFont="1" applyFill="1" applyBorder="1" applyAlignment="1">
      <alignment horizontal="left" vertical="center" wrapText="1" indent="1"/>
    </xf>
    <xf numFmtId="0" fontId="25" fillId="8" borderId="0" xfId="0" applyFont="1" applyFill="1" applyAlignment="1">
      <alignment horizontal="left" vertical="center" wrapText="1" indent="2"/>
    </xf>
    <xf numFmtId="0" fontId="25" fillId="8" borderId="0" xfId="0" applyFont="1" applyFill="1" applyAlignment="1">
      <alignment horizontal="left" vertical="center" wrapText="1"/>
    </xf>
    <xf numFmtId="0" fontId="25" fillId="8" borderId="5" xfId="0" applyFont="1" applyFill="1" applyBorder="1" applyAlignment="1">
      <alignment vertical="center" wrapText="1"/>
    </xf>
    <xf numFmtId="0" fontId="35" fillId="8" borderId="0" xfId="0" applyFont="1" applyFill="1" applyAlignment="1">
      <alignment horizontal="left" vertical="center" wrapText="1"/>
    </xf>
    <xf numFmtId="0" fontId="1" fillId="2" borderId="0" xfId="0" applyFont="1" applyFill="1" applyProtection="1">
      <protection locked="0"/>
    </xf>
    <xf numFmtId="0" fontId="1" fillId="0" borderId="0" xfId="0" applyFont="1" applyProtection="1">
      <protection locked="0"/>
    </xf>
    <xf numFmtId="0" fontId="1" fillId="3" borderId="0" xfId="0" applyFont="1" applyFill="1" applyProtection="1">
      <protection locked="0"/>
    </xf>
    <xf numFmtId="0" fontId="8" fillId="2" borderId="0" xfId="0" applyFont="1" applyFill="1" applyAlignment="1" applyProtection="1">
      <alignment horizontal="left" vertical="center" wrapText="1" indent="1"/>
      <protection locked="0"/>
    </xf>
    <xf numFmtId="0" fontId="9" fillId="2" borderId="1" xfId="0" applyFont="1" applyFill="1" applyBorder="1" applyAlignment="1" applyProtection="1">
      <alignment horizontal="left" vertical="center" wrapText="1" indent="1"/>
      <protection locked="0"/>
    </xf>
    <xf numFmtId="0" fontId="10" fillId="2" borderId="0" xfId="0" applyFont="1" applyFill="1" applyAlignment="1" applyProtection="1">
      <alignment horizontal="left" vertical="center" wrapText="1"/>
      <protection locked="0"/>
    </xf>
    <xf numFmtId="0" fontId="11" fillId="2" borderId="0" xfId="0" applyFont="1" applyFill="1" applyAlignment="1" applyProtection="1">
      <alignment horizontal="center" vertical="center" wrapText="1"/>
      <protection locked="0"/>
    </xf>
    <xf numFmtId="0" fontId="12" fillId="2" borderId="0" xfId="0" applyFont="1" applyFill="1" applyAlignment="1" applyProtection="1">
      <alignment horizontal="left" vertical="center" wrapText="1" indent="1"/>
      <protection locked="0"/>
    </xf>
    <xf numFmtId="0" fontId="13" fillId="2" borderId="0" xfId="0" applyFont="1" applyFill="1" applyAlignment="1" applyProtection="1">
      <alignment horizontal="left" vertical="center" wrapText="1"/>
      <protection locked="0"/>
    </xf>
    <xf numFmtId="0" fontId="1" fillId="4" borderId="0" xfId="0" applyFont="1" applyFill="1" applyProtection="1">
      <protection locked="0"/>
    </xf>
    <xf numFmtId="0" fontId="12" fillId="2" borderId="0" xfId="0" applyFont="1" applyFill="1" applyAlignment="1" applyProtection="1">
      <alignment horizontal="left" vertical="center" wrapText="1" indent="1"/>
      <protection locked="0"/>
    </xf>
    <xf numFmtId="0" fontId="1" fillId="5" borderId="0" xfId="0" applyFont="1" applyFill="1" applyProtection="1">
      <protection locked="0"/>
    </xf>
    <xf numFmtId="0" fontId="1" fillId="6" borderId="0" xfId="0" applyFont="1" applyFill="1" applyProtection="1">
      <protection locked="0"/>
    </xf>
    <xf numFmtId="0" fontId="1" fillId="7" borderId="0" xfId="0" applyFont="1" applyFill="1" applyProtection="1">
      <protection locked="0"/>
    </xf>
    <xf numFmtId="0" fontId="14" fillId="2" borderId="0" xfId="0" applyFont="1" applyFill="1" applyAlignment="1" applyProtection="1">
      <alignment horizontal="left" vertical="center" wrapText="1"/>
      <protection locked="0"/>
    </xf>
    <xf numFmtId="0" fontId="15" fillId="2" borderId="0" xfId="0" applyFont="1" applyFill="1" applyAlignment="1" applyProtection="1">
      <alignment horizontal="center" vertical="center" wrapText="1"/>
      <protection locked="0"/>
    </xf>
    <xf numFmtId="0" fontId="16" fillId="2" borderId="0" xfId="0" applyFont="1" applyFill="1" applyAlignment="1" applyProtection="1">
      <alignment horizontal="center" vertical="center" wrapText="1"/>
      <protection locked="0"/>
    </xf>
    <xf numFmtId="0" fontId="1" fillId="2" borderId="0" xfId="0" applyFont="1" applyFill="1" applyProtection="1"/>
    <xf numFmtId="0" fontId="2" fillId="2" borderId="0" xfId="0" applyFont="1" applyFill="1" applyAlignment="1" applyProtection="1">
      <alignment horizontal="left" vertical="center" wrapText="1"/>
    </xf>
    <xf numFmtId="0" fontId="1" fillId="3" borderId="0" xfId="0" applyFont="1" applyFill="1" applyProtection="1"/>
    <xf numFmtId="0" fontId="3" fillId="3" borderId="0" xfId="0" applyFont="1" applyFill="1" applyAlignment="1" applyProtection="1">
      <alignment horizontal="left" vertical="center" wrapText="1" indent="1"/>
    </xf>
    <xf numFmtId="0" fontId="4" fillId="2" borderId="0" xfId="0" applyFont="1" applyFill="1" applyAlignment="1" applyProtection="1">
      <alignment horizontal="left" vertical="center" wrapText="1"/>
    </xf>
    <xf numFmtId="0" fontId="5" fillId="2" borderId="0" xfId="0" applyFont="1" applyFill="1" applyAlignment="1" applyProtection="1">
      <alignment horizontal="left" vertical="center" wrapText="1"/>
    </xf>
    <xf numFmtId="0" fontId="6" fillId="2" borderId="0" xfId="0" applyFont="1" applyFill="1" applyAlignment="1" applyProtection="1">
      <alignment horizontal="left" vertical="center" wrapText="1"/>
    </xf>
    <xf numFmtId="0" fontId="7" fillId="2" borderId="0" xfId="0" applyFont="1" applyFill="1" applyAlignment="1" applyProtection="1">
      <alignment horizontal="left" wrapText="1"/>
    </xf>
  </cellXfs>
  <cellStyles count="1">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DEDEC"/>
      <rgbColor rgb="FFFF00FF"/>
      <rgbColor rgb="FF00FFFF"/>
      <rgbColor rgb="FF800000"/>
      <rgbColor rgb="FF008000"/>
      <rgbColor rgb="FF000080"/>
      <rgbColor rgb="FF7D6608"/>
      <rgbColor rgb="FF800080"/>
      <rgbColor rgb="FF117A65"/>
      <rgbColor rgb="FFBDBDBD"/>
      <rgbColor rgb="FF888888"/>
      <rgbColor rgb="FFBDC3C7"/>
      <rgbColor rgb="FF6C3483"/>
      <rgbColor rgb="FFFCF3CF"/>
      <rgbColor rgb="FFD6EAF8"/>
      <rgbColor rgb="FF660066"/>
      <rgbColor rgb="FFE74C3C"/>
      <rgbColor rgb="FF0066CC"/>
      <rgbColor rgb="FFD7BDE2"/>
      <rgbColor rgb="FF000080"/>
      <rgbColor rgb="FFFF00FF"/>
      <rgbColor rgb="FFFFFF00"/>
      <rgbColor rgb="FF00FFFF"/>
      <rgbColor rgb="FF800080"/>
      <rgbColor rgb="FF800000"/>
      <rgbColor rgb="FF008080"/>
      <rgbColor rgb="FF382EFA"/>
      <rgbColor rgb="FF00CCFF"/>
      <rgbColor rgb="FFF2F3F4"/>
      <rgbColor rgb="FFD5F5E3"/>
      <rgbColor rgb="FFFAE5D3"/>
      <rgbColor rgb="FFAED6F1"/>
      <rgbColor rgb="FFD9D9D9"/>
      <rgbColor rgb="FFB3B3B3"/>
      <rgbColor rgb="FFE6B9B8"/>
      <rgbColor rgb="FF2E86C1"/>
      <rgbColor rgb="FF1ABC9C"/>
      <rgbColor rgb="FF99CC00"/>
      <rgbColor rgb="FFF3E5F5"/>
      <rgbColor rgb="FFD4AC0D"/>
      <rgbColor rgb="FFE67E22"/>
      <rgbColor rgb="FF555555"/>
      <rgbColor rgb="FF7F8C8D"/>
      <rgbColor rgb="FF1A237E"/>
      <rgbColor rgb="FF339966"/>
      <rgbColor rgb="FF0D1B2A"/>
      <rgbColor rgb="FF333300"/>
      <rgbColor rgb="FFA04000"/>
      <rgbColor rgb="FF993366"/>
      <rgbColor rgb="FF1B4F72"/>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c:style val="2"/>
  <c:chart>
    <c:title>
      <c:tx>
        <c:rich>
          <a:bodyPr rot="0"/>
          <a:lstStyle/>
          <a:p>
            <a:pPr>
              <a:defRPr sz="1800" b="1" strike="noStrike" spc="-1">
                <a:solidFill>
                  <a:srgbClr val="000000"/>
                </a:solidFill>
                <a:latin typeface="Calibri"/>
              </a:defRPr>
            </a:pPr>
            <a:r>
              <a:rPr lang="en-US" sz="1800" b="1" strike="noStrike" spc="-1">
                <a:solidFill>
                  <a:srgbClr val="000000"/>
                </a:solidFill>
                <a:latin typeface="Calibri"/>
              </a:rPr>
              <a:t>Revenue &amp; Net Profit — 5-Year Trend</a:t>
            </a:r>
          </a:p>
        </c:rich>
      </c:tx>
      <c:overlay val="0"/>
      <c:spPr>
        <a:noFill/>
        <a:ln w="0">
          <a:noFill/>
        </a:ln>
      </c:spPr>
    </c:title>
    <c:autoTitleDeleted val="0"/>
    <c:plotArea>
      <c:layout/>
      <c:barChart>
        <c:barDir val="col"/>
        <c:grouping val="clustered"/>
        <c:varyColors val="0"/>
        <c:ser>
          <c:idx val="0"/>
          <c:order val="0"/>
          <c:tx>
            <c:strRef>
              <c:f>'📈 DASHBOARD'!$B$20</c:f>
              <c:strCache>
                <c:ptCount val="1"/>
                <c:pt idx="0">
                  <c:v>Revenue (₹)</c:v>
                </c:pt>
              </c:strCache>
            </c:strRef>
          </c:tx>
          <c:spPr>
            <a:solidFill>
              <a:srgbClr val="2E86C1"/>
            </a:solidFill>
            <a:ln w="9360">
              <a:noFill/>
            </a:ln>
          </c:spPr>
          <c:invertIfNegative val="0"/>
          <c:dLbls>
            <c:spPr>
              <a:noFill/>
              <a:ln>
                <a:noFill/>
              </a:ln>
              <a:effectLst/>
            </c:spPr>
            <c:txPr>
              <a:bodyPr wrap="none"/>
              <a:lstStyle/>
              <a:p>
                <a:pPr>
                  <a:defRPr sz="1000" b="0" strike="noStrike" spc="-1">
                    <a:latin typeface="Arial"/>
                  </a:defRPr>
                </a:pPr>
                <a:endParaRPr lang="en-US"/>
              </a:p>
            </c:txP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strRef>
              <c:f>'📈 DASHBOARD'!$A$21:$A$25</c:f>
              <c:strCache>
                <c:ptCount val="5"/>
                <c:pt idx="0">
                  <c:v>FY22</c:v>
                </c:pt>
                <c:pt idx="1">
                  <c:v>FY23</c:v>
                </c:pt>
                <c:pt idx="2">
                  <c:v>FY24</c:v>
                </c:pt>
                <c:pt idx="3">
                  <c:v>FY25</c:v>
                </c:pt>
                <c:pt idx="4">
                  <c:v>FY26</c:v>
                </c:pt>
              </c:strCache>
            </c:strRef>
          </c:cat>
          <c:val>
            <c:numRef>
              <c:f>'📈 DASHBOARD'!$B$21:$B$25</c:f>
              <c:numCache>
                <c:formatCode>#,##0</c:formatCode>
                <c:ptCount val="5"/>
                <c:pt idx="0">
                  <c:v>12000000</c:v>
                </c:pt>
                <c:pt idx="1">
                  <c:v>13560000</c:v>
                </c:pt>
                <c:pt idx="2">
                  <c:v>15370000</c:v>
                </c:pt>
                <c:pt idx="3">
                  <c:v>17370000</c:v>
                </c:pt>
                <c:pt idx="4">
                  <c:v>19850000</c:v>
                </c:pt>
              </c:numCache>
            </c:numRef>
          </c:val>
          <c:extLst>
            <c:ext xmlns:c16="http://schemas.microsoft.com/office/drawing/2014/chart" uri="{C3380CC4-5D6E-409C-BE32-E72D297353CC}">
              <c16:uniqueId val="{00000000-AFC9-479F-AFAF-CFBE2E04FD9B}"/>
            </c:ext>
          </c:extLst>
        </c:ser>
        <c:dLbls>
          <c:showLegendKey val="0"/>
          <c:showVal val="0"/>
          <c:showCatName val="0"/>
          <c:showSerName val="0"/>
          <c:showPercent val="0"/>
          <c:showBubbleSize val="0"/>
        </c:dLbls>
        <c:gapWidth val="60"/>
        <c:axId val="42871532"/>
        <c:axId val="81235436"/>
      </c:barChart>
      <c:lineChart>
        <c:grouping val="standard"/>
        <c:varyColors val="0"/>
        <c:ser>
          <c:idx val="1"/>
          <c:order val="1"/>
          <c:tx>
            <c:strRef>
              <c:f>'📈 DASHBOARD'!$C$20</c:f>
              <c:strCache>
                <c:ptCount val="1"/>
                <c:pt idx="0">
                  <c:v>Net Profit (₹)</c:v>
                </c:pt>
              </c:strCache>
            </c:strRef>
          </c:tx>
          <c:spPr>
            <a:ln w="28080">
              <a:solidFill>
                <a:srgbClr val="E67E22"/>
              </a:solidFill>
              <a:round/>
            </a:ln>
          </c:spPr>
          <c:marker>
            <c:symbol val="circle"/>
            <c:size val="7"/>
            <c:spPr>
              <a:solidFill>
                <a:srgbClr val="E67E22"/>
              </a:solidFill>
            </c:spPr>
          </c:marker>
          <c:dLbls>
            <c:spPr>
              <a:noFill/>
              <a:ln>
                <a:noFill/>
              </a:ln>
              <a:effectLst/>
            </c:spPr>
            <c:txPr>
              <a:bodyPr wrap="none"/>
              <a:lstStyle/>
              <a:p>
                <a:pPr>
                  <a:defRPr sz="1000" b="0" strike="noStrike" spc="-1">
                    <a:latin typeface="Arial"/>
                  </a:defRPr>
                </a:pPr>
                <a:endParaRPr lang="en-US"/>
              </a:p>
            </c:txP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strRef>
              <c:f>'📈 DASHBOARD'!$A$21:$A$25</c:f>
              <c:strCache>
                <c:ptCount val="5"/>
                <c:pt idx="0">
                  <c:v>FY22</c:v>
                </c:pt>
                <c:pt idx="1">
                  <c:v>FY23</c:v>
                </c:pt>
                <c:pt idx="2">
                  <c:v>FY24</c:v>
                </c:pt>
                <c:pt idx="3">
                  <c:v>FY25</c:v>
                </c:pt>
                <c:pt idx="4">
                  <c:v>FY26</c:v>
                </c:pt>
              </c:strCache>
            </c:strRef>
          </c:cat>
          <c:val>
            <c:numRef>
              <c:f>'📈 DASHBOARD'!$C$21:$C$25</c:f>
              <c:numCache>
                <c:formatCode>#,##0</c:formatCode>
                <c:ptCount val="5"/>
                <c:pt idx="0">
                  <c:v>853062</c:v>
                </c:pt>
                <c:pt idx="1">
                  <c:v>1015443.1000000001</c:v>
                </c:pt>
                <c:pt idx="2">
                  <c:v>1263130.3999999999</c:v>
                </c:pt>
                <c:pt idx="3">
                  <c:v>1685919.9</c:v>
                </c:pt>
                <c:pt idx="4">
                  <c:v>2154355.7000000002</c:v>
                </c:pt>
              </c:numCache>
            </c:numRef>
          </c:val>
          <c:smooth val="0"/>
          <c:extLst>
            <c:ext xmlns:c16="http://schemas.microsoft.com/office/drawing/2014/chart" uri="{C3380CC4-5D6E-409C-BE32-E72D297353CC}">
              <c16:uniqueId val="{00000001-AFC9-479F-AFAF-CFBE2E04FD9B}"/>
            </c:ext>
          </c:extLst>
        </c:ser>
        <c:dLbls>
          <c:showLegendKey val="0"/>
          <c:showVal val="0"/>
          <c:showCatName val="0"/>
          <c:showSerName val="0"/>
          <c:showPercent val="0"/>
          <c:showBubbleSize val="0"/>
        </c:dLbls>
        <c:hiLowLines>
          <c:spPr>
            <a:ln w="0">
              <a:noFill/>
            </a:ln>
          </c:spPr>
        </c:hiLowLines>
        <c:marker val="1"/>
        <c:smooth val="0"/>
        <c:axId val="80679205"/>
        <c:axId val="6279491"/>
      </c:lineChart>
      <c:catAx>
        <c:axId val="42871532"/>
        <c:scaling>
          <c:orientation val="minMax"/>
        </c:scaling>
        <c:delete val="0"/>
        <c:axPos val="b"/>
        <c:numFmt formatCode="General" sourceLinked="1"/>
        <c:majorTickMark val="none"/>
        <c:minorTickMark val="none"/>
        <c:tickLblPos val="nextTo"/>
        <c:spPr>
          <a:ln w="0">
            <a:solidFill>
              <a:srgbClr val="B3B3B3"/>
            </a:solidFill>
          </a:ln>
        </c:spPr>
        <c:txPr>
          <a:bodyPr/>
          <a:lstStyle/>
          <a:p>
            <a:pPr>
              <a:defRPr sz="1000" b="0" strike="noStrike" spc="-1">
                <a:solidFill>
                  <a:srgbClr val="000000"/>
                </a:solidFill>
                <a:latin typeface="Calibri"/>
              </a:defRPr>
            </a:pPr>
            <a:endParaRPr lang="en-US"/>
          </a:p>
        </c:txPr>
        <c:crossAx val="81235436"/>
        <c:crosses val="autoZero"/>
        <c:auto val="1"/>
        <c:lblAlgn val="ctr"/>
        <c:lblOffset val="100"/>
        <c:noMultiLvlLbl val="0"/>
      </c:catAx>
      <c:valAx>
        <c:axId val="81235436"/>
        <c:scaling>
          <c:orientation val="minMax"/>
        </c:scaling>
        <c:delete val="0"/>
        <c:axPos val="l"/>
        <c:majorGridlines>
          <c:spPr>
            <a:ln w="0">
              <a:solidFill>
                <a:srgbClr val="B3B3B3"/>
              </a:solidFill>
            </a:ln>
          </c:spPr>
        </c:majorGridlines>
        <c:title>
          <c:tx>
            <c:rich>
              <a:bodyPr rot="-5400000"/>
              <a:lstStyle/>
              <a:p>
                <a:pPr>
                  <a:defRPr sz="1000" b="1" strike="noStrike" spc="-1">
                    <a:solidFill>
                      <a:srgbClr val="000000"/>
                    </a:solidFill>
                    <a:latin typeface="Calibri"/>
                  </a:defRPr>
                </a:pPr>
                <a:r>
                  <a:rPr lang="en-US" sz="1000" b="1" strike="noStrike" spc="-1">
                    <a:solidFill>
                      <a:srgbClr val="000000"/>
                    </a:solidFill>
                    <a:latin typeface="Calibri"/>
                  </a:rPr>
                  <a:t>Revenue (₹)</a:t>
                </a:r>
              </a:p>
            </c:rich>
          </c:tx>
          <c:overlay val="0"/>
          <c:spPr>
            <a:noFill/>
            <a:ln w="0">
              <a:noFill/>
            </a:ln>
          </c:spPr>
        </c:title>
        <c:numFmt formatCode="#,##0" sourceLinked="1"/>
        <c:majorTickMark val="none"/>
        <c:minorTickMark val="none"/>
        <c:tickLblPos val="nextTo"/>
        <c:spPr>
          <a:ln w="0">
            <a:solidFill>
              <a:srgbClr val="B3B3B3"/>
            </a:solidFill>
          </a:ln>
        </c:spPr>
        <c:txPr>
          <a:bodyPr/>
          <a:lstStyle/>
          <a:p>
            <a:pPr>
              <a:defRPr sz="1000" b="0" strike="noStrike" spc="-1">
                <a:solidFill>
                  <a:srgbClr val="000000"/>
                </a:solidFill>
                <a:latin typeface="Calibri"/>
              </a:defRPr>
            </a:pPr>
            <a:endParaRPr lang="en-US"/>
          </a:p>
        </c:txPr>
        <c:crossAx val="42871532"/>
        <c:crosses val="autoZero"/>
        <c:crossBetween val="between"/>
      </c:valAx>
      <c:catAx>
        <c:axId val="80679205"/>
        <c:scaling>
          <c:orientation val="minMax"/>
        </c:scaling>
        <c:delete val="0"/>
        <c:axPos val="b"/>
        <c:numFmt formatCode="General" sourceLinked="1"/>
        <c:majorTickMark val="none"/>
        <c:minorTickMark val="none"/>
        <c:tickLblPos val="nextTo"/>
        <c:spPr>
          <a:ln w="0">
            <a:solidFill>
              <a:srgbClr val="B3B3B3"/>
            </a:solidFill>
          </a:ln>
        </c:spPr>
        <c:txPr>
          <a:bodyPr/>
          <a:lstStyle/>
          <a:p>
            <a:pPr>
              <a:defRPr sz="1000" b="0" strike="noStrike" spc="-1">
                <a:solidFill>
                  <a:srgbClr val="000000"/>
                </a:solidFill>
                <a:latin typeface="Calibri"/>
              </a:defRPr>
            </a:pPr>
            <a:endParaRPr lang="en-US"/>
          </a:p>
        </c:txPr>
        <c:crossAx val="6279491"/>
        <c:crosses val="autoZero"/>
        <c:auto val="1"/>
        <c:lblAlgn val="ctr"/>
        <c:lblOffset val="100"/>
        <c:noMultiLvlLbl val="0"/>
      </c:catAx>
      <c:valAx>
        <c:axId val="6279491"/>
        <c:scaling>
          <c:orientation val="minMax"/>
        </c:scaling>
        <c:delete val="0"/>
        <c:axPos val="r"/>
        <c:title>
          <c:tx>
            <c:rich>
              <a:bodyPr rot="-5400000"/>
              <a:lstStyle/>
              <a:p>
                <a:pPr>
                  <a:defRPr sz="1000" b="1" strike="noStrike" spc="-1">
                    <a:solidFill>
                      <a:srgbClr val="000000"/>
                    </a:solidFill>
                    <a:latin typeface="Calibri"/>
                  </a:defRPr>
                </a:pPr>
                <a:r>
                  <a:rPr lang="en-US" sz="1000" b="1" strike="noStrike" spc="-1">
                    <a:solidFill>
                      <a:srgbClr val="000000"/>
                    </a:solidFill>
                    <a:latin typeface="Calibri"/>
                  </a:rPr>
                  <a:t>Net Profit (₹)</a:t>
                </a:r>
              </a:p>
            </c:rich>
          </c:tx>
          <c:overlay val="0"/>
          <c:spPr>
            <a:noFill/>
            <a:ln w="0">
              <a:noFill/>
            </a:ln>
          </c:spPr>
        </c:title>
        <c:numFmt formatCode="#,##0" sourceLinked="1"/>
        <c:majorTickMark val="none"/>
        <c:minorTickMark val="none"/>
        <c:tickLblPos val="nextTo"/>
        <c:spPr>
          <a:ln w="0">
            <a:solidFill>
              <a:srgbClr val="B3B3B3"/>
            </a:solidFill>
          </a:ln>
        </c:spPr>
        <c:txPr>
          <a:bodyPr/>
          <a:lstStyle/>
          <a:p>
            <a:pPr>
              <a:defRPr sz="1000" b="0" strike="noStrike" spc="-1">
                <a:solidFill>
                  <a:srgbClr val="000000"/>
                </a:solidFill>
                <a:latin typeface="Calibri"/>
              </a:defRPr>
            </a:pPr>
            <a:endParaRPr lang="en-US"/>
          </a:p>
        </c:txPr>
        <c:crossAx val="80679205"/>
        <c:crosses val="max"/>
        <c:crossBetween val="between"/>
      </c:valAx>
      <c:spPr>
        <a:noFill/>
        <a:ln w="0">
          <a:noFill/>
        </a:ln>
      </c:spPr>
    </c:plotArea>
    <c:legend>
      <c:legendPos val="b"/>
      <c:overlay val="0"/>
      <c:spPr>
        <a:noFill/>
        <a:ln w="0">
          <a:noFill/>
        </a:ln>
      </c:spPr>
      <c:txPr>
        <a:bodyPr/>
        <a:lstStyle/>
        <a:p>
          <a:pPr>
            <a:defRPr sz="1000" b="0" strike="noStrike" spc="-1">
              <a:solidFill>
                <a:srgbClr val="000000"/>
              </a:solidFill>
              <a:latin typeface="Calibri"/>
            </a:defRPr>
          </a:pPr>
          <a:endParaRPr lang="en-US"/>
        </a:p>
      </c:txPr>
    </c:legend>
    <c:plotVisOnly val="1"/>
    <c:dispBlanksAs val="gap"/>
    <c:showDLblsOverMax val="1"/>
  </c:chart>
  <c:spPr>
    <a:solidFill>
      <a:srgbClr val="FFFFFF"/>
    </a:solidFill>
    <a:ln w="9360">
      <a:solidFill>
        <a:srgbClr val="D9D9D9"/>
      </a:solidFill>
      <a:round/>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c:style val="2"/>
  <c:chart>
    <c:title>
      <c:tx>
        <c:rich>
          <a:bodyPr rot="0"/>
          <a:lstStyle/>
          <a:p>
            <a:pPr>
              <a:defRPr sz="1800" b="1" strike="noStrike" spc="-1">
                <a:solidFill>
                  <a:srgbClr val="000000"/>
                </a:solidFill>
                <a:latin typeface="Calibri"/>
              </a:defRPr>
            </a:pPr>
            <a:r>
              <a:rPr lang="en-US" sz="1800" b="1" strike="noStrike" spc="-1">
                <a:solidFill>
                  <a:srgbClr val="000000"/>
                </a:solidFill>
                <a:latin typeface="Calibri"/>
              </a:rPr>
              <a:t>Key Ratios — 5-Year Trend</a:t>
            </a:r>
          </a:p>
        </c:rich>
      </c:tx>
      <c:overlay val="0"/>
      <c:spPr>
        <a:noFill/>
        <a:ln w="0">
          <a:noFill/>
        </a:ln>
      </c:spPr>
    </c:title>
    <c:autoTitleDeleted val="0"/>
    <c:plotArea>
      <c:layout/>
      <c:lineChart>
        <c:grouping val="standard"/>
        <c:varyColors val="0"/>
        <c:ser>
          <c:idx val="0"/>
          <c:order val="0"/>
          <c:tx>
            <c:strRef>
              <c:f>'📈 DASHBOARD'!$B$28</c:f>
              <c:strCache>
                <c:ptCount val="1"/>
                <c:pt idx="0">
                  <c:v>Current Ratio</c:v>
                </c:pt>
              </c:strCache>
            </c:strRef>
          </c:tx>
          <c:spPr>
            <a:ln w="25920">
              <a:solidFill>
                <a:srgbClr val="6C3483"/>
              </a:solidFill>
              <a:round/>
            </a:ln>
          </c:spPr>
          <c:marker>
            <c:symbol val="circle"/>
            <c:size val="7"/>
            <c:spPr>
              <a:solidFill>
                <a:srgbClr val="6C3483"/>
              </a:solidFill>
            </c:spPr>
          </c:marker>
          <c:dLbls>
            <c:spPr>
              <a:noFill/>
              <a:ln>
                <a:noFill/>
              </a:ln>
              <a:effectLst/>
            </c:spPr>
            <c:txPr>
              <a:bodyPr wrap="none"/>
              <a:lstStyle/>
              <a:p>
                <a:pPr>
                  <a:defRPr sz="1000" b="0" strike="noStrike" spc="-1">
                    <a:latin typeface="Arial"/>
                  </a:defRPr>
                </a:pPr>
                <a:endParaRPr lang="en-US"/>
              </a:p>
            </c:txP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strRef>
              <c:f>'📈 DASHBOARD'!$A$29:$A$33</c:f>
              <c:strCache>
                <c:ptCount val="5"/>
                <c:pt idx="0">
                  <c:v>FY22</c:v>
                </c:pt>
                <c:pt idx="1">
                  <c:v>FY23</c:v>
                </c:pt>
                <c:pt idx="2">
                  <c:v>FY24</c:v>
                </c:pt>
                <c:pt idx="3">
                  <c:v>FY25</c:v>
                </c:pt>
                <c:pt idx="4">
                  <c:v>FY26</c:v>
                </c:pt>
              </c:strCache>
            </c:strRef>
          </c:cat>
          <c:val>
            <c:numRef>
              <c:f>'📈 DASHBOARD'!$B$29:$B$33</c:f>
              <c:numCache>
                <c:formatCode>0.00</c:formatCode>
                <c:ptCount val="5"/>
                <c:pt idx="0">
                  <c:v>2.4632352941176472</c:v>
                </c:pt>
                <c:pt idx="1">
                  <c:v>2.6748971193415638</c:v>
                </c:pt>
                <c:pt idx="2">
                  <c:v>2.8666666666666667</c:v>
                </c:pt>
                <c:pt idx="3">
                  <c:v>3.0583858042358329</c:v>
                </c:pt>
                <c:pt idx="4">
                  <c:v>3.2561728395061729</c:v>
                </c:pt>
              </c:numCache>
            </c:numRef>
          </c:val>
          <c:smooth val="0"/>
          <c:extLst>
            <c:ext xmlns:c16="http://schemas.microsoft.com/office/drawing/2014/chart" uri="{C3380CC4-5D6E-409C-BE32-E72D297353CC}">
              <c16:uniqueId val="{00000000-B6AB-48ED-B0F0-606B8F0B6FD1}"/>
            </c:ext>
          </c:extLst>
        </c:ser>
        <c:ser>
          <c:idx val="1"/>
          <c:order val="1"/>
          <c:tx>
            <c:strRef>
              <c:f>'📈 DASHBOARD'!$D$28</c:f>
              <c:strCache>
                <c:ptCount val="1"/>
                <c:pt idx="0">
                  <c:v>Debt:Equity</c:v>
                </c:pt>
              </c:strCache>
            </c:strRef>
          </c:tx>
          <c:spPr>
            <a:ln w="25920">
              <a:solidFill>
                <a:srgbClr val="E74C3C"/>
              </a:solidFill>
              <a:round/>
            </a:ln>
          </c:spPr>
          <c:marker>
            <c:symbol val="circle"/>
            <c:size val="7"/>
            <c:spPr>
              <a:solidFill>
                <a:srgbClr val="E74C3C"/>
              </a:solidFill>
            </c:spPr>
          </c:marker>
          <c:dLbls>
            <c:spPr>
              <a:noFill/>
              <a:ln>
                <a:noFill/>
              </a:ln>
              <a:effectLst/>
            </c:spPr>
            <c:txPr>
              <a:bodyPr wrap="none"/>
              <a:lstStyle/>
              <a:p>
                <a:pPr>
                  <a:defRPr sz="1000" b="0" strike="noStrike" spc="-1">
                    <a:latin typeface="Arial"/>
                  </a:defRPr>
                </a:pPr>
                <a:endParaRPr lang="en-US"/>
              </a:p>
            </c:txP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strRef>
              <c:f>'📈 DASHBOARD'!$A$29:$A$33</c:f>
              <c:strCache>
                <c:ptCount val="5"/>
                <c:pt idx="0">
                  <c:v>FY22</c:v>
                </c:pt>
                <c:pt idx="1">
                  <c:v>FY23</c:v>
                </c:pt>
                <c:pt idx="2">
                  <c:v>FY24</c:v>
                </c:pt>
                <c:pt idx="3">
                  <c:v>FY25</c:v>
                </c:pt>
                <c:pt idx="4">
                  <c:v>FY26</c:v>
                </c:pt>
              </c:strCache>
            </c:strRef>
          </c:cat>
          <c:val>
            <c:numRef>
              <c:f>'📈 DASHBOARD'!$D$29:$D$33</c:f>
              <c:numCache>
                <c:formatCode>0.00</c:formatCode>
                <c:ptCount val="5"/>
                <c:pt idx="0">
                  <c:v>0.49315068493150682</c:v>
                </c:pt>
                <c:pt idx="1">
                  <c:v>0.36944696282864914</c:v>
                </c:pt>
                <c:pt idx="2">
                  <c:v>0.26825633383010433</c:v>
                </c:pt>
                <c:pt idx="3">
                  <c:v>0.19075682382133996</c:v>
                </c:pt>
                <c:pt idx="4">
                  <c:v>0.12968486577616392</c:v>
                </c:pt>
              </c:numCache>
            </c:numRef>
          </c:val>
          <c:smooth val="0"/>
          <c:extLst>
            <c:ext xmlns:c16="http://schemas.microsoft.com/office/drawing/2014/chart" uri="{C3380CC4-5D6E-409C-BE32-E72D297353CC}">
              <c16:uniqueId val="{00000001-B6AB-48ED-B0F0-606B8F0B6FD1}"/>
            </c:ext>
          </c:extLst>
        </c:ser>
        <c:dLbls>
          <c:showLegendKey val="0"/>
          <c:showVal val="0"/>
          <c:showCatName val="0"/>
          <c:showSerName val="0"/>
          <c:showPercent val="0"/>
          <c:showBubbleSize val="0"/>
        </c:dLbls>
        <c:hiLowLines>
          <c:spPr>
            <a:ln w="0">
              <a:noFill/>
            </a:ln>
          </c:spPr>
        </c:hiLowLines>
        <c:marker val="1"/>
        <c:smooth val="0"/>
        <c:axId val="94816010"/>
        <c:axId val="86894267"/>
      </c:lineChart>
      <c:lineChart>
        <c:grouping val="standard"/>
        <c:varyColors val="0"/>
        <c:ser>
          <c:idx val="2"/>
          <c:order val="2"/>
          <c:tx>
            <c:strRef>
              <c:f>'📈 DASHBOARD'!$C$28</c:f>
              <c:strCache>
                <c:ptCount val="1"/>
                <c:pt idx="0">
                  <c:v>ROE %</c:v>
                </c:pt>
              </c:strCache>
            </c:strRef>
          </c:tx>
          <c:spPr>
            <a:ln w="25920">
              <a:solidFill>
                <a:srgbClr val="1ABC9C"/>
              </a:solidFill>
              <a:prstDash val="dash"/>
              <a:round/>
            </a:ln>
          </c:spPr>
          <c:marker>
            <c:symbol val="diamond"/>
            <c:size val="8"/>
            <c:spPr>
              <a:solidFill>
                <a:srgbClr val="1ABC9C"/>
              </a:solidFill>
            </c:spPr>
          </c:marker>
          <c:dLbls>
            <c:spPr>
              <a:noFill/>
              <a:ln>
                <a:noFill/>
              </a:ln>
              <a:effectLst/>
            </c:spPr>
            <c:txPr>
              <a:bodyPr wrap="none"/>
              <a:lstStyle/>
              <a:p>
                <a:pPr>
                  <a:defRPr sz="1000" b="0" strike="noStrike" spc="-1">
                    <a:latin typeface="Arial"/>
                  </a:defRPr>
                </a:pPr>
                <a:endParaRPr lang="en-US"/>
              </a:p>
            </c:txP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strRef>
              <c:f>'📈 DASHBOARD'!$A$29:$A$33</c:f>
              <c:strCache>
                <c:ptCount val="5"/>
                <c:pt idx="0">
                  <c:v>FY22</c:v>
                </c:pt>
                <c:pt idx="1">
                  <c:v>FY23</c:v>
                </c:pt>
                <c:pt idx="2">
                  <c:v>FY24</c:v>
                </c:pt>
                <c:pt idx="3">
                  <c:v>FY25</c:v>
                </c:pt>
                <c:pt idx="4">
                  <c:v>FY26</c:v>
                </c:pt>
              </c:strCache>
            </c:strRef>
          </c:cat>
          <c:val>
            <c:numRef>
              <c:f>'📈 DASHBOARD'!$C$29:$C$33</c:f>
              <c:numCache>
                <c:formatCode>0.0%</c:formatCode>
                <c:ptCount val="5"/>
                <c:pt idx="0">
                  <c:v>0.23371561643835617</c:v>
                </c:pt>
                <c:pt idx="1">
                  <c:v>0.23015482774252041</c:v>
                </c:pt>
                <c:pt idx="2">
                  <c:v>0.2353074515648286</c:v>
                </c:pt>
                <c:pt idx="3">
                  <c:v>0.26146400434243172</c:v>
                </c:pt>
                <c:pt idx="4">
                  <c:v>0.27938732978861369</c:v>
                </c:pt>
              </c:numCache>
            </c:numRef>
          </c:val>
          <c:smooth val="0"/>
          <c:extLst>
            <c:ext xmlns:c16="http://schemas.microsoft.com/office/drawing/2014/chart" uri="{C3380CC4-5D6E-409C-BE32-E72D297353CC}">
              <c16:uniqueId val="{00000002-B6AB-48ED-B0F0-606B8F0B6FD1}"/>
            </c:ext>
          </c:extLst>
        </c:ser>
        <c:dLbls>
          <c:showLegendKey val="0"/>
          <c:showVal val="0"/>
          <c:showCatName val="0"/>
          <c:showSerName val="0"/>
          <c:showPercent val="0"/>
          <c:showBubbleSize val="0"/>
        </c:dLbls>
        <c:hiLowLines>
          <c:spPr>
            <a:ln w="0">
              <a:noFill/>
            </a:ln>
          </c:spPr>
        </c:hiLowLines>
        <c:marker val="1"/>
        <c:smooth val="0"/>
        <c:axId val="4941459"/>
        <c:axId val="40085951"/>
      </c:lineChart>
      <c:catAx>
        <c:axId val="94816010"/>
        <c:scaling>
          <c:orientation val="minMax"/>
        </c:scaling>
        <c:delete val="0"/>
        <c:axPos val="b"/>
        <c:numFmt formatCode="General" sourceLinked="1"/>
        <c:majorTickMark val="none"/>
        <c:minorTickMark val="none"/>
        <c:tickLblPos val="nextTo"/>
        <c:spPr>
          <a:ln w="0">
            <a:solidFill>
              <a:srgbClr val="B3B3B3"/>
            </a:solidFill>
          </a:ln>
        </c:spPr>
        <c:txPr>
          <a:bodyPr/>
          <a:lstStyle/>
          <a:p>
            <a:pPr>
              <a:defRPr sz="1000" b="0" strike="noStrike" spc="-1">
                <a:solidFill>
                  <a:srgbClr val="000000"/>
                </a:solidFill>
                <a:latin typeface="Calibri"/>
              </a:defRPr>
            </a:pPr>
            <a:endParaRPr lang="en-US"/>
          </a:p>
        </c:txPr>
        <c:crossAx val="86894267"/>
        <c:crosses val="autoZero"/>
        <c:auto val="1"/>
        <c:lblAlgn val="ctr"/>
        <c:lblOffset val="100"/>
        <c:noMultiLvlLbl val="0"/>
      </c:catAx>
      <c:valAx>
        <c:axId val="86894267"/>
        <c:scaling>
          <c:orientation val="minMax"/>
        </c:scaling>
        <c:delete val="0"/>
        <c:axPos val="l"/>
        <c:majorGridlines>
          <c:spPr>
            <a:ln w="0">
              <a:solidFill>
                <a:srgbClr val="B3B3B3"/>
              </a:solidFill>
            </a:ln>
          </c:spPr>
        </c:majorGridlines>
        <c:title>
          <c:tx>
            <c:rich>
              <a:bodyPr rot="-5400000"/>
              <a:lstStyle/>
              <a:p>
                <a:pPr>
                  <a:defRPr sz="1000" b="1" strike="noStrike" spc="-1">
                    <a:solidFill>
                      <a:srgbClr val="000000"/>
                    </a:solidFill>
                    <a:latin typeface="Calibri"/>
                  </a:defRPr>
                </a:pPr>
                <a:r>
                  <a:rPr lang="en-US" sz="1000" b="1" strike="noStrike" spc="-1">
                    <a:solidFill>
                      <a:srgbClr val="000000"/>
                    </a:solidFill>
                    <a:latin typeface="Calibri"/>
                  </a:rPr>
                  <a:t>Ratio (x)</a:t>
                </a:r>
              </a:p>
            </c:rich>
          </c:tx>
          <c:overlay val="0"/>
          <c:spPr>
            <a:noFill/>
            <a:ln w="0">
              <a:noFill/>
            </a:ln>
          </c:spPr>
        </c:title>
        <c:numFmt formatCode="0.00" sourceLinked="1"/>
        <c:majorTickMark val="none"/>
        <c:minorTickMark val="none"/>
        <c:tickLblPos val="nextTo"/>
        <c:spPr>
          <a:ln w="0">
            <a:solidFill>
              <a:srgbClr val="B3B3B3"/>
            </a:solidFill>
          </a:ln>
        </c:spPr>
        <c:txPr>
          <a:bodyPr/>
          <a:lstStyle/>
          <a:p>
            <a:pPr>
              <a:defRPr sz="1000" b="0" strike="noStrike" spc="-1">
                <a:solidFill>
                  <a:srgbClr val="000000"/>
                </a:solidFill>
                <a:latin typeface="Calibri"/>
              </a:defRPr>
            </a:pPr>
            <a:endParaRPr lang="en-US"/>
          </a:p>
        </c:txPr>
        <c:crossAx val="94816010"/>
        <c:crosses val="autoZero"/>
        <c:crossBetween val="between"/>
      </c:valAx>
      <c:catAx>
        <c:axId val="4941459"/>
        <c:scaling>
          <c:orientation val="minMax"/>
        </c:scaling>
        <c:delete val="0"/>
        <c:axPos val="b"/>
        <c:numFmt formatCode="General" sourceLinked="1"/>
        <c:majorTickMark val="none"/>
        <c:minorTickMark val="none"/>
        <c:tickLblPos val="nextTo"/>
        <c:spPr>
          <a:ln w="0">
            <a:solidFill>
              <a:srgbClr val="B3B3B3"/>
            </a:solidFill>
          </a:ln>
        </c:spPr>
        <c:txPr>
          <a:bodyPr/>
          <a:lstStyle/>
          <a:p>
            <a:pPr>
              <a:defRPr sz="1000" b="0" strike="noStrike" spc="-1">
                <a:solidFill>
                  <a:srgbClr val="000000"/>
                </a:solidFill>
                <a:latin typeface="Calibri"/>
              </a:defRPr>
            </a:pPr>
            <a:endParaRPr lang="en-US"/>
          </a:p>
        </c:txPr>
        <c:crossAx val="40085951"/>
        <c:crosses val="autoZero"/>
        <c:auto val="1"/>
        <c:lblAlgn val="ctr"/>
        <c:lblOffset val="100"/>
        <c:noMultiLvlLbl val="0"/>
      </c:catAx>
      <c:valAx>
        <c:axId val="40085951"/>
        <c:scaling>
          <c:orientation val="minMax"/>
        </c:scaling>
        <c:delete val="0"/>
        <c:axPos val="r"/>
        <c:title>
          <c:tx>
            <c:rich>
              <a:bodyPr rot="-5400000"/>
              <a:lstStyle/>
              <a:p>
                <a:pPr>
                  <a:defRPr sz="1000" b="1" strike="noStrike" spc="-1">
                    <a:solidFill>
                      <a:srgbClr val="000000"/>
                    </a:solidFill>
                    <a:latin typeface="Calibri"/>
                  </a:defRPr>
                </a:pPr>
                <a:r>
                  <a:rPr lang="en-US" sz="1000" b="1" strike="noStrike" spc="-1">
                    <a:solidFill>
                      <a:srgbClr val="000000"/>
                    </a:solidFill>
                    <a:latin typeface="Calibri"/>
                  </a:rPr>
                  <a:t>ROE %</a:t>
                </a:r>
              </a:p>
            </c:rich>
          </c:tx>
          <c:overlay val="0"/>
          <c:spPr>
            <a:noFill/>
            <a:ln w="0">
              <a:noFill/>
            </a:ln>
          </c:spPr>
        </c:title>
        <c:numFmt formatCode="0.0%" sourceLinked="1"/>
        <c:majorTickMark val="none"/>
        <c:minorTickMark val="none"/>
        <c:tickLblPos val="nextTo"/>
        <c:spPr>
          <a:ln w="0">
            <a:solidFill>
              <a:srgbClr val="B3B3B3"/>
            </a:solidFill>
          </a:ln>
        </c:spPr>
        <c:txPr>
          <a:bodyPr/>
          <a:lstStyle/>
          <a:p>
            <a:pPr>
              <a:defRPr sz="1000" b="0" strike="noStrike" spc="-1">
                <a:solidFill>
                  <a:srgbClr val="000000"/>
                </a:solidFill>
                <a:latin typeface="Calibri"/>
              </a:defRPr>
            </a:pPr>
            <a:endParaRPr lang="en-US"/>
          </a:p>
        </c:txPr>
        <c:crossAx val="4941459"/>
        <c:crosses val="max"/>
        <c:crossBetween val="between"/>
      </c:valAx>
      <c:spPr>
        <a:noFill/>
        <a:ln w="0">
          <a:noFill/>
        </a:ln>
      </c:spPr>
    </c:plotArea>
    <c:legend>
      <c:legendPos val="b"/>
      <c:overlay val="0"/>
      <c:spPr>
        <a:noFill/>
        <a:ln w="0">
          <a:noFill/>
        </a:ln>
      </c:spPr>
      <c:txPr>
        <a:bodyPr/>
        <a:lstStyle/>
        <a:p>
          <a:pPr>
            <a:defRPr sz="1000" b="0" strike="noStrike" spc="-1">
              <a:solidFill>
                <a:srgbClr val="000000"/>
              </a:solidFill>
              <a:latin typeface="Calibri"/>
            </a:defRPr>
          </a:pPr>
          <a:endParaRPr lang="en-US"/>
        </a:p>
      </c:txPr>
    </c:legend>
    <c:plotVisOnly val="1"/>
    <c:dispBlanksAs val="gap"/>
    <c:showDLblsOverMax val="1"/>
  </c:chart>
  <c:spPr>
    <a:solidFill>
      <a:srgbClr val="FFFFFF"/>
    </a:solidFill>
    <a:ln w="9360">
      <a:solidFill>
        <a:srgbClr val="D9D9D9"/>
      </a:solidFill>
      <a:round/>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8</xdr:col>
      <xdr:colOff>0</xdr:colOff>
      <xdr:row>2</xdr:row>
      <xdr:rowOff>0</xdr:rowOff>
    </xdr:from>
    <xdr:to>
      <xdr:col>18</xdr:col>
      <xdr:colOff>339120</xdr:colOff>
      <xdr:row>18</xdr:row>
      <xdr:rowOff>245880</xdr:rowOff>
    </xdr:to>
    <xdr:graphicFrame macro="">
      <xdr:nvGraphicFramePr>
        <xdr:cNvPr id="2" name="Chart 1">
          <a:extLst>
            <a:ext uri="{FF2B5EF4-FFF2-40B4-BE49-F238E27FC236}">
              <a16:creationId xmlns:a16="http://schemas.microsoft.com/office/drawing/2014/main" id="{00000000-0008-0000-07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8</xdr:col>
      <xdr:colOff>0</xdr:colOff>
      <xdr:row>24</xdr:row>
      <xdr:rowOff>0</xdr:rowOff>
    </xdr:from>
    <xdr:to>
      <xdr:col>18</xdr:col>
      <xdr:colOff>339120</xdr:colOff>
      <xdr:row>42</xdr:row>
      <xdr:rowOff>179280</xdr:rowOff>
    </xdr:to>
    <xdr:graphicFrame macro="">
      <xdr:nvGraphicFramePr>
        <xdr:cNvPr id="3" name="Chart 2">
          <a:extLst>
            <a:ext uri="{FF2B5EF4-FFF2-40B4-BE49-F238E27FC236}">
              <a16:creationId xmlns:a16="http://schemas.microsoft.com/office/drawing/2014/main" id="{00000000-0008-0000-07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8.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D1B2A"/>
  </sheetPr>
  <dimension ref="A1:G59"/>
  <sheetViews>
    <sheetView zoomScaleNormal="100" workbookViewId="0">
      <selection activeCell="C15" sqref="C15"/>
    </sheetView>
  </sheetViews>
  <sheetFormatPr defaultColWidth="8.7109375" defaultRowHeight="15" x14ac:dyDescent="0.25"/>
  <cols>
    <col min="1" max="1" width="3" style="89" customWidth="1"/>
    <col min="2" max="2" width="32" style="89" customWidth="1"/>
    <col min="3" max="3" width="62.5703125" style="89" customWidth="1"/>
    <col min="4" max="4" width="5" style="89" customWidth="1"/>
    <col min="5" max="16384" width="8.7109375" style="89"/>
  </cols>
  <sheetData>
    <row r="1" spans="1:7" ht="18" customHeight="1" x14ac:dyDescent="0.25">
      <c r="A1" s="105"/>
      <c r="B1" s="105"/>
      <c r="C1" s="105"/>
      <c r="D1" s="105"/>
      <c r="E1" s="105"/>
      <c r="F1" s="105"/>
      <c r="G1" s="105"/>
    </row>
    <row r="2" spans="1:7" ht="31.5" customHeight="1" x14ac:dyDescent="0.25">
      <c r="A2" s="105"/>
      <c r="B2" s="106" t="s">
        <v>0</v>
      </c>
      <c r="C2" s="106"/>
      <c r="D2" s="105"/>
      <c r="E2" s="105"/>
      <c r="F2" s="105"/>
      <c r="G2" s="105"/>
    </row>
    <row r="3" spans="1:7" ht="27.75" customHeight="1" x14ac:dyDescent="0.25">
      <c r="A3" s="105"/>
      <c r="B3" s="106"/>
      <c r="C3" s="106"/>
      <c r="D3" s="105"/>
      <c r="E3" s="105"/>
      <c r="F3" s="105"/>
      <c r="G3" s="105"/>
    </row>
    <row r="4" spans="1:7" ht="18" customHeight="1" x14ac:dyDescent="0.25">
      <c r="A4" s="107"/>
      <c r="B4" s="108" t="s">
        <v>1</v>
      </c>
      <c r="C4" s="108"/>
      <c r="D4" s="107"/>
      <c r="E4" s="107"/>
      <c r="F4" s="107"/>
      <c r="G4" s="107"/>
    </row>
    <row r="5" spans="1:7" ht="18" customHeight="1" x14ac:dyDescent="0.25">
      <c r="A5" s="107"/>
      <c r="B5" s="108"/>
      <c r="C5" s="108"/>
      <c r="D5" s="107"/>
      <c r="E5" s="107"/>
      <c r="F5" s="107"/>
      <c r="G5" s="107"/>
    </row>
    <row r="6" spans="1:7" ht="18" customHeight="1" x14ac:dyDescent="0.25">
      <c r="A6" s="105"/>
      <c r="B6" s="105"/>
      <c r="C6" s="105"/>
      <c r="D6" s="105"/>
      <c r="E6" s="105"/>
      <c r="F6" s="105"/>
      <c r="G6" s="105"/>
    </row>
    <row r="7" spans="1:7" ht="7.5" customHeight="1" x14ac:dyDescent="0.25">
      <c r="A7" s="105"/>
      <c r="B7" s="105"/>
      <c r="C7" s="105"/>
      <c r="D7" s="105"/>
      <c r="E7" s="105"/>
      <c r="F7" s="105"/>
      <c r="G7" s="105"/>
    </row>
    <row r="8" spans="1:7" ht="31.5" customHeight="1" x14ac:dyDescent="0.25">
      <c r="A8" s="105"/>
      <c r="B8" s="109" t="s">
        <v>2</v>
      </c>
      <c r="C8" s="109"/>
      <c r="D8" s="105"/>
      <c r="E8" s="105"/>
      <c r="F8" s="105"/>
      <c r="G8" s="105"/>
    </row>
    <row r="9" spans="1:7" ht="27.75" customHeight="1" x14ac:dyDescent="0.25">
      <c r="A9" s="105"/>
      <c r="B9" s="109"/>
      <c r="C9" s="109"/>
      <c r="D9" s="105"/>
      <c r="E9" s="105"/>
      <c r="F9" s="105"/>
      <c r="G9" s="105"/>
    </row>
    <row r="10" spans="1:7" ht="53.25" customHeight="1" x14ac:dyDescent="0.25">
      <c r="A10" s="105"/>
      <c r="B10" s="110" t="s">
        <v>3</v>
      </c>
      <c r="C10" s="110"/>
      <c r="D10" s="105"/>
      <c r="E10" s="105"/>
      <c r="F10" s="105"/>
      <c r="G10" s="105"/>
    </row>
    <row r="11" spans="1:7" ht="18" customHeight="1" x14ac:dyDescent="0.25">
      <c r="A11" s="105"/>
      <c r="B11" s="111" t="s">
        <v>4</v>
      </c>
      <c r="C11" s="111"/>
      <c r="D11" s="105"/>
      <c r="E11" s="105"/>
      <c r="F11" s="105"/>
      <c r="G11" s="105"/>
    </row>
    <row r="12" spans="1:7" ht="48.75" customHeight="1" x14ac:dyDescent="0.25">
      <c r="A12" s="105"/>
      <c r="B12" s="112" t="s">
        <v>5</v>
      </c>
      <c r="C12" s="112"/>
      <c r="D12" s="105"/>
      <c r="E12" s="105"/>
      <c r="F12" s="105"/>
      <c r="G12" s="105"/>
    </row>
    <row r="13" spans="1:7" ht="3" customHeight="1" x14ac:dyDescent="0.25">
      <c r="A13" s="88"/>
      <c r="B13" s="90"/>
      <c r="C13" s="90"/>
      <c r="D13" s="90"/>
      <c r="E13" s="88"/>
      <c r="F13" s="88"/>
      <c r="G13" s="88"/>
    </row>
    <row r="14" spans="1:7" ht="18" customHeight="1" x14ac:dyDescent="0.25">
      <c r="A14" s="88"/>
      <c r="B14" s="88"/>
      <c r="C14" s="88"/>
      <c r="D14" s="88"/>
      <c r="E14" s="88"/>
      <c r="F14" s="88"/>
      <c r="G14" s="88"/>
    </row>
    <row r="15" spans="1:7" ht="19.5" customHeight="1" x14ac:dyDescent="0.25">
      <c r="A15" s="88"/>
      <c r="B15" s="91" t="s">
        <v>6</v>
      </c>
      <c r="C15" s="92" t="s">
        <v>7</v>
      </c>
      <c r="D15" s="88"/>
      <c r="E15" s="88"/>
      <c r="F15" s="88"/>
      <c r="G15" s="88"/>
    </row>
    <row r="16" spans="1:7" ht="19.5" customHeight="1" x14ac:dyDescent="0.25">
      <c r="A16" s="88"/>
      <c r="B16" s="91" t="s">
        <v>8</v>
      </c>
      <c r="C16" s="92" t="s">
        <v>9</v>
      </c>
      <c r="D16" s="88"/>
      <c r="E16" s="88"/>
      <c r="F16" s="88"/>
      <c r="G16" s="88"/>
    </row>
    <row r="17" spans="1:7" ht="19.5" customHeight="1" x14ac:dyDescent="0.25">
      <c r="A17" s="88"/>
      <c r="B17" s="91" t="s">
        <v>10</v>
      </c>
      <c r="C17" s="92" t="s">
        <v>11</v>
      </c>
      <c r="D17" s="88"/>
      <c r="E17" s="88"/>
      <c r="F17" s="88"/>
      <c r="G17" s="88"/>
    </row>
    <row r="18" spans="1:7" ht="19.5" customHeight="1" x14ac:dyDescent="0.25">
      <c r="A18" s="88"/>
      <c r="B18" s="91" t="s">
        <v>12</v>
      </c>
      <c r="C18" s="92" t="s">
        <v>13</v>
      </c>
      <c r="D18" s="88"/>
      <c r="E18" s="88"/>
      <c r="F18" s="88"/>
      <c r="G18" s="88"/>
    </row>
    <row r="19" spans="1:7" ht="19.5" customHeight="1" x14ac:dyDescent="0.25">
      <c r="A19" s="88"/>
      <c r="B19" s="91" t="s">
        <v>14</v>
      </c>
      <c r="C19" s="92" t="s">
        <v>15</v>
      </c>
      <c r="D19" s="88"/>
      <c r="E19" s="88"/>
      <c r="F19" s="88"/>
      <c r="G19" s="88"/>
    </row>
    <row r="20" spans="1:7" ht="18" customHeight="1" x14ac:dyDescent="0.25">
      <c r="A20" s="88"/>
      <c r="B20" s="88"/>
      <c r="C20" s="88"/>
      <c r="D20" s="88"/>
      <c r="E20" s="88"/>
      <c r="F20" s="88"/>
      <c r="G20" s="88"/>
    </row>
    <row r="21" spans="1:7" ht="7.5" customHeight="1" x14ac:dyDescent="0.25">
      <c r="A21" s="88"/>
      <c r="B21" s="88"/>
      <c r="C21" s="88"/>
      <c r="D21" s="88"/>
      <c r="E21" s="88"/>
      <c r="F21" s="88"/>
      <c r="G21" s="88"/>
    </row>
    <row r="22" spans="1:7" ht="21.75" customHeight="1" x14ac:dyDescent="0.25">
      <c r="A22" s="88"/>
      <c r="B22" s="93" t="s">
        <v>16</v>
      </c>
      <c r="C22" s="93"/>
      <c r="D22" s="88"/>
      <c r="E22" s="88"/>
      <c r="F22" s="88"/>
      <c r="G22" s="88"/>
    </row>
    <row r="23" spans="1:7" ht="18.75" customHeight="1" x14ac:dyDescent="0.25">
      <c r="A23" s="88"/>
      <c r="B23" s="94" t="s">
        <v>17</v>
      </c>
      <c r="C23" s="95" t="s">
        <v>18</v>
      </c>
      <c r="D23" s="88"/>
      <c r="E23" s="88"/>
      <c r="F23" s="88"/>
      <c r="G23" s="88"/>
    </row>
    <row r="24" spans="1:7" ht="18.75" customHeight="1" x14ac:dyDescent="0.25">
      <c r="A24" s="88"/>
      <c r="B24" s="94" t="s">
        <v>19</v>
      </c>
      <c r="C24" s="95" t="s">
        <v>20</v>
      </c>
      <c r="D24" s="88"/>
      <c r="E24" s="88"/>
      <c r="F24" s="88"/>
      <c r="G24" s="88"/>
    </row>
    <row r="25" spans="1:7" ht="18.75" customHeight="1" x14ac:dyDescent="0.25">
      <c r="A25" s="88"/>
      <c r="B25" s="94" t="s">
        <v>21</v>
      </c>
      <c r="C25" s="95" t="s">
        <v>22</v>
      </c>
      <c r="D25" s="88"/>
      <c r="E25" s="88"/>
      <c r="F25" s="88"/>
      <c r="G25" s="88"/>
    </row>
    <row r="26" spans="1:7" ht="18.75" customHeight="1" x14ac:dyDescent="0.25">
      <c r="A26" s="88"/>
      <c r="B26" s="94" t="s">
        <v>23</v>
      </c>
      <c r="C26" s="95" t="s">
        <v>24</v>
      </c>
      <c r="D26" s="88"/>
      <c r="E26" s="88"/>
      <c r="F26" s="88"/>
      <c r="G26" s="88"/>
    </row>
    <row r="27" spans="1:7" ht="18.75" customHeight="1" x14ac:dyDescent="0.25">
      <c r="A27" s="88"/>
      <c r="B27" s="94" t="s">
        <v>25</v>
      </c>
      <c r="C27" s="95" t="s">
        <v>26</v>
      </c>
      <c r="D27" s="88"/>
      <c r="E27" s="88"/>
      <c r="F27" s="88"/>
      <c r="G27" s="88"/>
    </row>
    <row r="28" spans="1:7" ht="18.75" customHeight="1" x14ac:dyDescent="0.25">
      <c r="A28" s="88"/>
      <c r="B28" s="94" t="s">
        <v>27</v>
      </c>
      <c r="C28" s="95" t="s">
        <v>28</v>
      </c>
      <c r="D28" s="88"/>
      <c r="E28" s="88"/>
      <c r="F28" s="88"/>
      <c r="G28" s="88"/>
    </row>
    <row r="29" spans="1:7" ht="18.75" customHeight="1" x14ac:dyDescent="0.25">
      <c r="A29" s="88"/>
      <c r="B29" s="94" t="s">
        <v>19</v>
      </c>
      <c r="C29" s="95" t="s">
        <v>29</v>
      </c>
      <c r="D29" s="88"/>
      <c r="E29" s="88"/>
      <c r="F29" s="88"/>
      <c r="G29" s="88"/>
    </row>
    <row r="30" spans="1:7" ht="18.75" customHeight="1" x14ac:dyDescent="0.25">
      <c r="A30" s="88"/>
      <c r="B30" s="94" t="s">
        <v>30</v>
      </c>
      <c r="C30" s="95" t="s">
        <v>31</v>
      </c>
      <c r="D30" s="88"/>
      <c r="E30" s="88"/>
      <c r="F30" s="88"/>
      <c r="G30" s="88"/>
    </row>
    <row r="31" spans="1:7" ht="18" customHeight="1" x14ac:dyDescent="0.25">
      <c r="A31" s="88"/>
      <c r="B31" s="88"/>
      <c r="C31" s="88"/>
      <c r="D31" s="88"/>
      <c r="E31" s="88"/>
      <c r="F31" s="88"/>
      <c r="G31" s="88"/>
    </row>
    <row r="32" spans="1:7" ht="7.5" customHeight="1" x14ac:dyDescent="0.25">
      <c r="A32" s="88"/>
      <c r="B32" s="88"/>
      <c r="C32" s="88"/>
      <c r="D32" s="88"/>
      <c r="E32" s="88"/>
      <c r="F32" s="88"/>
      <c r="G32" s="88"/>
    </row>
    <row r="33" spans="1:7" ht="19.5" customHeight="1" x14ac:dyDescent="0.25">
      <c r="A33" s="88"/>
      <c r="B33" s="96" t="s">
        <v>32</v>
      </c>
      <c r="C33" s="96"/>
      <c r="D33" s="88"/>
      <c r="E33" s="88"/>
      <c r="F33" s="88"/>
      <c r="G33" s="88"/>
    </row>
    <row r="34" spans="1:7" ht="18" customHeight="1" x14ac:dyDescent="0.25">
      <c r="A34" s="88"/>
      <c r="B34" s="97"/>
      <c r="C34" s="98" t="s">
        <v>33</v>
      </c>
      <c r="D34" s="98"/>
      <c r="E34" s="88"/>
      <c r="F34" s="88"/>
      <c r="G34" s="88"/>
    </row>
    <row r="35" spans="1:7" ht="18" customHeight="1" x14ac:dyDescent="0.25">
      <c r="A35" s="88"/>
      <c r="B35" s="99"/>
      <c r="C35" s="98" t="s">
        <v>34</v>
      </c>
      <c r="D35" s="98"/>
      <c r="E35" s="88"/>
      <c r="F35" s="88"/>
      <c r="G35" s="88"/>
    </row>
    <row r="36" spans="1:7" ht="18" customHeight="1" x14ac:dyDescent="0.25">
      <c r="A36" s="88"/>
      <c r="B36" s="100"/>
      <c r="C36" s="98" t="s">
        <v>35</v>
      </c>
      <c r="D36" s="98"/>
      <c r="E36" s="88"/>
      <c r="F36" s="88"/>
      <c r="G36" s="88"/>
    </row>
    <row r="37" spans="1:7" ht="18" customHeight="1" x14ac:dyDescent="0.25">
      <c r="A37" s="88"/>
      <c r="B37" s="101"/>
      <c r="C37" s="98" t="s">
        <v>36</v>
      </c>
      <c r="D37" s="98"/>
      <c r="E37" s="88"/>
      <c r="F37" s="88"/>
      <c r="G37" s="88"/>
    </row>
    <row r="38" spans="1:7" ht="18" customHeight="1" x14ac:dyDescent="0.25">
      <c r="A38" s="88"/>
      <c r="B38" s="88"/>
      <c r="C38" s="88"/>
      <c r="D38" s="88"/>
      <c r="E38" s="88"/>
      <c r="F38" s="88"/>
      <c r="G38" s="88"/>
    </row>
    <row r="39" spans="1:7" ht="15" customHeight="1" x14ac:dyDescent="0.25">
      <c r="A39" s="88"/>
      <c r="B39" s="102" t="s">
        <v>37</v>
      </c>
      <c r="C39" s="102"/>
      <c r="D39" s="88"/>
      <c r="E39" s="88"/>
      <c r="F39" s="88"/>
      <c r="G39" s="88"/>
    </row>
    <row r="40" spans="1:7" ht="32.25" customHeight="1" x14ac:dyDescent="0.25">
      <c r="A40" s="88"/>
      <c r="B40" s="103" t="s">
        <v>38</v>
      </c>
      <c r="C40" s="98" t="s">
        <v>39</v>
      </c>
      <c r="D40" s="98"/>
      <c r="E40" s="88"/>
      <c r="F40" s="88"/>
      <c r="G40" s="88"/>
    </row>
    <row r="41" spans="1:7" ht="24.75" customHeight="1" x14ac:dyDescent="0.25">
      <c r="A41" s="88"/>
      <c r="B41" s="103" t="s">
        <v>38</v>
      </c>
      <c r="C41" s="98" t="s">
        <v>40</v>
      </c>
      <c r="D41" s="98"/>
      <c r="E41" s="88"/>
      <c r="F41" s="88"/>
      <c r="G41" s="88"/>
    </row>
    <row r="42" spans="1:7" ht="23.25" customHeight="1" x14ac:dyDescent="0.25">
      <c r="A42" s="88"/>
      <c r="B42" s="103" t="s">
        <v>38</v>
      </c>
      <c r="C42" s="98" t="s">
        <v>41</v>
      </c>
      <c r="D42" s="98"/>
      <c r="E42" s="88"/>
      <c r="F42" s="88"/>
      <c r="G42" s="88"/>
    </row>
    <row r="43" spans="1:7" ht="33.75" customHeight="1" x14ac:dyDescent="0.25">
      <c r="A43" s="88"/>
      <c r="B43" s="103" t="s">
        <v>38</v>
      </c>
      <c r="C43" s="98" t="s">
        <v>42</v>
      </c>
      <c r="D43" s="98"/>
      <c r="E43" s="88"/>
      <c r="F43" s="88"/>
      <c r="G43" s="88"/>
    </row>
    <row r="44" spans="1:7" ht="36" customHeight="1" x14ac:dyDescent="0.25">
      <c r="A44" s="88"/>
      <c r="B44" s="103" t="s">
        <v>38</v>
      </c>
      <c r="C44" s="98" t="s">
        <v>43</v>
      </c>
      <c r="D44" s="98"/>
      <c r="E44" s="88"/>
      <c r="F44" s="88"/>
      <c r="G44" s="88"/>
    </row>
    <row r="45" spans="1:7" ht="30.75" customHeight="1" x14ac:dyDescent="0.25">
      <c r="A45" s="88"/>
      <c r="B45" s="103" t="s">
        <v>38</v>
      </c>
      <c r="C45" s="98" t="s">
        <v>44</v>
      </c>
      <c r="D45" s="98"/>
      <c r="E45" s="88"/>
      <c r="F45" s="88"/>
      <c r="G45" s="88"/>
    </row>
    <row r="46" spans="1:7" ht="15" customHeight="1" x14ac:dyDescent="0.25">
      <c r="A46" s="88"/>
      <c r="B46" s="103" t="s">
        <v>38</v>
      </c>
      <c r="C46" s="98" t="s">
        <v>45</v>
      </c>
      <c r="D46" s="98"/>
      <c r="E46" s="88"/>
      <c r="F46" s="88"/>
      <c r="G46" s="88"/>
    </row>
    <row r="47" spans="1:7" ht="18" customHeight="1" x14ac:dyDescent="0.25">
      <c r="A47" s="88"/>
      <c r="B47" s="88"/>
      <c r="C47" s="88"/>
      <c r="D47" s="88"/>
      <c r="E47" s="88"/>
      <c r="F47" s="88"/>
      <c r="G47" s="88"/>
    </row>
    <row r="48" spans="1:7" ht="18" customHeight="1" x14ac:dyDescent="0.25">
      <c r="A48" s="88"/>
      <c r="B48" s="88"/>
      <c r="C48" s="88"/>
      <c r="D48" s="88"/>
      <c r="E48" s="88"/>
      <c r="F48" s="88"/>
      <c r="G48" s="88"/>
    </row>
    <row r="49" spans="1:7" ht="18" customHeight="1" x14ac:dyDescent="0.25">
      <c r="A49" s="88"/>
      <c r="B49" s="88"/>
      <c r="C49" s="88"/>
      <c r="D49" s="88"/>
      <c r="E49" s="88"/>
      <c r="F49" s="88"/>
      <c r="G49" s="88"/>
    </row>
    <row r="50" spans="1:7" ht="18" customHeight="1" x14ac:dyDescent="0.25">
      <c r="A50" s="88"/>
      <c r="B50" s="88"/>
      <c r="C50" s="88"/>
      <c r="D50" s="88"/>
      <c r="E50" s="88"/>
      <c r="F50" s="88"/>
      <c r="G50" s="88"/>
    </row>
    <row r="51" spans="1:7" ht="18" customHeight="1" x14ac:dyDescent="0.25">
      <c r="A51" s="88"/>
      <c r="B51" s="88"/>
      <c r="C51" s="88"/>
      <c r="D51" s="88"/>
      <c r="E51" s="88"/>
      <c r="F51" s="88"/>
      <c r="G51" s="88"/>
    </row>
    <row r="52" spans="1:7" ht="18" customHeight="1" x14ac:dyDescent="0.25">
      <c r="A52" s="88"/>
      <c r="B52" s="88"/>
      <c r="C52" s="88"/>
      <c r="D52" s="88"/>
      <c r="E52" s="88"/>
      <c r="F52" s="88"/>
      <c r="G52" s="88"/>
    </row>
    <row r="53" spans="1:7" ht="18" customHeight="1" x14ac:dyDescent="0.25">
      <c r="A53" s="88"/>
      <c r="B53" s="88"/>
      <c r="C53" s="88"/>
      <c r="D53" s="88"/>
      <c r="E53" s="88"/>
      <c r="F53" s="88"/>
      <c r="G53" s="88"/>
    </row>
    <row r="54" spans="1:7" ht="18" customHeight="1" x14ac:dyDescent="0.25">
      <c r="A54" s="88"/>
      <c r="B54" s="88"/>
      <c r="C54" s="88"/>
      <c r="D54" s="88"/>
      <c r="E54" s="88"/>
      <c r="F54" s="88"/>
      <c r="G54" s="88"/>
    </row>
    <row r="55" spans="1:7" ht="18" customHeight="1" x14ac:dyDescent="0.25">
      <c r="A55" s="88"/>
      <c r="B55" s="88"/>
      <c r="C55" s="88"/>
      <c r="D55" s="88"/>
      <c r="E55" s="88"/>
      <c r="F55" s="88"/>
      <c r="G55" s="88"/>
    </row>
    <row r="56" spans="1:7" ht="18" customHeight="1" x14ac:dyDescent="0.25">
      <c r="A56" s="88"/>
      <c r="B56" s="88"/>
      <c r="C56" s="88"/>
      <c r="D56" s="88"/>
      <c r="E56" s="88"/>
      <c r="F56" s="88"/>
      <c r="G56" s="88"/>
    </row>
    <row r="57" spans="1:7" ht="18" customHeight="1" x14ac:dyDescent="0.25">
      <c r="A57" s="88"/>
      <c r="B57" s="88"/>
      <c r="C57" s="88"/>
      <c r="D57" s="88"/>
      <c r="E57" s="88"/>
      <c r="F57" s="88"/>
      <c r="G57" s="88"/>
    </row>
    <row r="58" spans="1:7" ht="15.75" customHeight="1" x14ac:dyDescent="0.25">
      <c r="A58" s="88"/>
      <c r="B58" s="104" t="s">
        <v>46</v>
      </c>
      <c r="C58" s="104"/>
      <c r="D58" s="88"/>
      <c r="E58" s="88"/>
      <c r="F58" s="88"/>
      <c r="G58" s="88"/>
    </row>
    <row r="59" spans="1:7" ht="18" customHeight="1" x14ac:dyDescent="0.25">
      <c r="A59" s="88"/>
      <c r="B59" s="88"/>
      <c r="C59" s="88"/>
      <c r="D59" s="88"/>
      <c r="E59" s="88"/>
      <c r="F59" s="88"/>
      <c r="G59" s="88"/>
    </row>
  </sheetData>
  <sheetProtection algorithmName="SHA-512" hashValue="A1l6LZycSGLjWApFlVDorKdKQ8cN4o2kJEckMHBssfim4V+zw/8QamFNgqQ1sQYAlsDpeBKs/I80uKsziv8c1Q==" saltValue="XIw1/qxSN15EdFz9tgOfQA==" spinCount="100000" sheet="1" objects="1" scenarios="1"/>
  <mergeCells count="21">
    <mergeCell ref="B58:C58"/>
    <mergeCell ref="C42:D42"/>
    <mergeCell ref="C43:D43"/>
    <mergeCell ref="C44:D44"/>
    <mergeCell ref="C45:D45"/>
    <mergeCell ref="C46:D46"/>
    <mergeCell ref="C36:D36"/>
    <mergeCell ref="C37:D37"/>
    <mergeCell ref="B39:C39"/>
    <mergeCell ref="C40:D40"/>
    <mergeCell ref="C41:D41"/>
    <mergeCell ref="B12:C12"/>
    <mergeCell ref="B22:C22"/>
    <mergeCell ref="B33:C33"/>
    <mergeCell ref="C34:D34"/>
    <mergeCell ref="C35:D35"/>
    <mergeCell ref="B2:C3"/>
    <mergeCell ref="B4:C5"/>
    <mergeCell ref="B8:C9"/>
    <mergeCell ref="B10:C10"/>
    <mergeCell ref="B11:C11"/>
  </mergeCells>
  <pageMargins left="0.75" right="0.75" top="1" bottom="1" header="0.511811023622047" footer="0.511811023622047"/>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6C3483"/>
  </sheetPr>
  <dimension ref="A1:C31"/>
  <sheetViews>
    <sheetView zoomScaleNormal="100" workbookViewId="0">
      <pane ySplit="2" topLeftCell="A3" activePane="bottomLeft" state="frozen"/>
      <selection pane="bottomLeft" activeCell="B4" sqref="B4"/>
    </sheetView>
  </sheetViews>
  <sheetFormatPr defaultColWidth="8.7109375" defaultRowHeight="15" x14ac:dyDescent="0.25"/>
  <cols>
    <col min="1" max="1" width="32" style="15" customWidth="1"/>
    <col min="2" max="2" width="24.85546875" style="15" customWidth="1"/>
    <col min="3" max="3" width="54.7109375" style="15" customWidth="1"/>
    <col min="4" max="16384" width="8.7109375" style="15"/>
  </cols>
  <sheetData>
    <row r="1" spans="1:3" ht="30" customHeight="1" x14ac:dyDescent="0.25">
      <c r="A1" s="14" t="s">
        <v>47</v>
      </c>
      <c r="B1" s="14"/>
      <c r="C1" s="14"/>
    </row>
    <row r="2" spans="1:3" ht="15" customHeight="1" x14ac:dyDescent="0.25">
      <c r="A2" s="75" t="s">
        <v>48</v>
      </c>
      <c r="B2" s="75"/>
      <c r="C2" s="75"/>
    </row>
    <row r="3" spans="1:3" ht="21.75" customHeight="1" x14ac:dyDescent="0.25">
      <c r="A3" s="76" t="s">
        <v>49</v>
      </c>
      <c r="B3" s="76"/>
      <c r="C3" s="76"/>
    </row>
    <row r="4" spans="1:3" ht="19.5" customHeight="1" x14ac:dyDescent="0.25">
      <c r="A4" s="16" t="s">
        <v>50</v>
      </c>
      <c r="B4" s="16" t="s">
        <v>51</v>
      </c>
      <c r="C4" s="16" t="s">
        <v>52</v>
      </c>
    </row>
    <row r="5" spans="1:3" ht="15" customHeight="1" x14ac:dyDescent="0.25">
      <c r="A5" s="17" t="s">
        <v>53</v>
      </c>
      <c r="B5" s="18" t="s">
        <v>54</v>
      </c>
      <c r="C5" s="19" t="s">
        <v>55</v>
      </c>
    </row>
    <row r="6" spans="1:3" ht="15" customHeight="1" x14ac:dyDescent="0.25">
      <c r="A6" s="17" t="s">
        <v>56</v>
      </c>
      <c r="B6" s="18" t="s">
        <v>57</v>
      </c>
      <c r="C6" s="19" t="s">
        <v>58</v>
      </c>
    </row>
    <row r="7" spans="1:3" ht="15" customHeight="1" x14ac:dyDescent="0.25">
      <c r="A7" s="17" t="s">
        <v>59</v>
      </c>
      <c r="B7" s="18" t="s">
        <v>60</v>
      </c>
      <c r="C7" s="19" t="s">
        <v>61</v>
      </c>
    </row>
    <row r="8" spans="1:3" ht="15" customHeight="1" x14ac:dyDescent="0.25">
      <c r="A8" s="17" t="s">
        <v>62</v>
      </c>
      <c r="B8" s="18" t="s">
        <v>63</v>
      </c>
      <c r="C8" s="19" t="s">
        <v>64</v>
      </c>
    </row>
    <row r="9" spans="1:3" ht="15" customHeight="1" x14ac:dyDescent="0.25">
      <c r="A9" s="17" t="s">
        <v>65</v>
      </c>
      <c r="B9" s="18" t="s">
        <v>66</v>
      </c>
      <c r="C9" s="19" t="s">
        <v>67</v>
      </c>
    </row>
    <row r="10" spans="1:3" ht="15" customHeight="1" x14ac:dyDescent="0.25">
      <c r="A10" s="17" t="s">
        <v>68</v>
      </c>
      <c r="B10" s="18" t="s">
        <v>69</v>
      </c>
      <c r="C10" s="19" t="s">
        <v>70</v>
      </c>
    </row>
    <row r="11" spans="1:3" ht="15" customHeight="1" x14ac:dyDescent="0.25">
      <c r="A11" s="17" t="s">
        <v>71</v>
      </c>
      <c r="B11" s="18" t="s">
        <v>69</v>
      </c>
      <c r="C11" s="19" t="s">
        <v>72</v>
      </c>
    </row>
    <row r="12" spans="1:3" ht="15" customHeight="1" x14ac:dyDescent="0.25">
      <c r="A12" s="17" t="s">
        <v>73</v>
      </c>
      <c r="B12" s="18" t="s">
        <v>74</v>
      </c>
      <c r="C12" s="19" t="s">
        <v>75</v>
      </c>
    </row>
    <row r="13" spans="1:3" ht="15" customHeight="1" x14ac:dyDescent="0.25">
      <c r="A13" s="17" t="s">
        <v>76</v>
      </c>
      <c r="B13" s="18" t="s">
        <v>77</v>
      </c>
      <c r="C13" s="19" t="s">
        <v>78</v>
      </c>
    </row>
    <row r="14" spans="1:3" ht="15" customHeight="1" x14ac:dyDescent="0.25">
      <c r="A14" s="17" t="s">
        <v>79</v>
      </c>
      <c r="B14" s="18" t="s">
        <v>80</v>
      </c>
      <c r="C14" s="19" t="s">
        <v>81</v>
      </c>
    </row>
    <row r="15" spans="1:3" ht="15" customHeight="1" x14ac:dyDescent="0.25">
      <c r="A15" s="17" t="s">
        <v>82</v>
      </c>
      <c r="B15" s="18" t="s">
        <v>83</v>
      </c>
      <c r="C15" s="19" t="s">
        <v>84</v>
      </c>
    </row>
    <row r="16" spans="1:3" ht="15" customHeight="1" x14ac:dyDescent="0.25">
      <c r="A16" s="17" t="s">
        <v>85</v>
      </c>
      <c r="B16" s="18" t="s">
        <v>86</v>
      </c>
      <c r="C16" s="19" t="s">
        <v>87</v>
      </c>
    </row>
    <row r="17" spans="1:3" ht="15" customHeight="1" x14ac:dyDescent="0.25">
      <c r="A17" s="17" t="s">
        <v>88</v>
      </c>
      <c r="B17" s="18" t="s">
        <v>86</v>
      </c>
      <c r="C17" s="19" t="s">
        <v>89</v>
      </c>
    </row>
    <row r="18" spans="1:3" ht="15" customHeight="1" x14ac:dyDescent="0.25">
      <c r="A18" s="17" t="s">
        <v>90</v>
      </c>
      <c r="B18" s="18" t="s">
        <v>91</v>
      </c>
      <c r="C18" s="19" t="s">
        <v>92</v>
      </c>
    </row>
    <row r="19" spans="1:3" ht="15" customHeight="1" x14ac:dyDescent="0.25">
      <c r="A19" s="17" t="s">
        <v>93</v>
      </c>
      <c r="B19" s="18" t="s">
        <v>80</v>
      </c>
      <c r="C19" s="19" t="s">
        <v>94</v>
      </c>
    </row>
    <row r="20" spans="1:3" ht="21.75" customHeight="1" x14ac:dyDescent="0.25">
      <c r="A20" s="77" t="s">
        <v>95</v>
      </c>
      <c r="B20" s="77"/>
      <c r="C20" s="77"/>
    </row>
    <row r="21" spans="1:3" ht="19.5" customHeight="1" x14ac:dyDescent="0.25">
      <c r="A21" s="17" t="s">
        <v>96</v>
      </c>
      <c r="B21" s="18" t="s">
        <v>97</v>
      </c>
      <c r="C21" s="19" t="s">
        <v>98</v>
      </c>
    </row>
    <row r="22" spans="1:3" ht="15" customHeight="1" x14ac:dyDescent="0.25">
      <c r="A22" s="17" t="s">
        <v>99</v>
      </c>
      <c r="B22" s="18" t="s">
        <v>100</v>
      </c>
      <c r="C22" s="19" t="s">
        <v>101</v>
      </c>
    </row>
    <row r="23" spans="1:3" ht="15" customHeight="1" x14ac:dyDescent="0.25">
      <c r="A23" s="17" t="s">
        <v>102</v>
      </c>
      <c r="B23" s="18" t="s">
        <v>103</v>
      </c>
      <c r="C23" s="19" t="s">
        <v>104</v>
      </c>
    </row>
    <row r="24" spans="1:3" ht="15" customHeight="1" x14ac:dyDescent="0.25">
      <c r="A24" s="20"/>
      <c r="B24" s="20"/>
      <c r="C24" s="20"/>
    </row>
    <row r="25" spans="1:3" ht="49.5" customHeight="1" x14ac:dyDescent="0.25">
      <c r="A25" s="78" t="s">
        <v>105</v>
      </c>
      <c r="B25" s="78"/>
      <c r="C25" s="78"/>
    </row>
    <row r="26" spans="1:3" ht="15" customHeight="1" x14ac:dyDescent="0.25">
      <c r="A26" s="79" t="s">
        <v>106</v>
      </c>
      <c r="B26" s="79"/>
      <c r="C26" s="79"/>
    </row>
    <row r="27" spans="1:3" ht="15" customHeight="1" x14ac:dyDescent="0.25">
      <c r="A27" s="17" t="s">
        <v>107</v>
      </c>
      <c r="B27" s="18" t="s">
        <v>108</v>
      </c>
      <c r="C27" s="19" t="s">
        <v>109</v>
      </c>
    </row>
    <row r="28" spans="1:3" ht="15" customHeight="1" x14ac:dyDescent="0.25">
      <c r="A28" s="17" t="s">
        <v>110</v>
      </c>
      <c r="B28" s="18" t="s">
        <v>111</v>
      </c>
      <c r="C28" s="19" t="s">
        <v>112</v>
      </c>
    </row>
    <row r="29" spans="1:3" ht="15" customHeight="1" x14ac:dyDescent="0.25">
      <c r="A29" s="17" t="s">
        <v>113</v>
      </c>
      <c r="B29" s="18" t="s">
        <v>114</v>
      </c>
      <c r="C29" s="19" t="s">
        <v>115</v>
      </c>
    </row>
    <row r="31" spans="1:3" ht="27.75" customHeight="1" x14ac:dyDescent="0.25">
      <c r="A31" s="80" t="s">
        <v>116</v>
      </c>
      <c r="B31" s="80"/>
      <c r="C31" s="80"/>
    </row>
  </sheetData>
  <mergeCells count="7">
    <mergeCell ref="A26:C26"/>
    <mergeCell ref="A31:C31"/>
    <mergeCell ref="A1:C1"/>
    <mergeCell ref="A2:C2"/>
    <mergeCell ref="A3:C3"/>
    <mergeCell ref="A20:C20"/>
    <mergeCell ref="A25:C25"/>
  </mergeCells>
  <pageMargins left="0.75" right="0.75" top="1" bottom="1" header="0.511811023622047" footer="0.511811023622047"/>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117A65"/>
  </sheetPr>
  <dimension ref="A1:G19"/>
  <sheetViews>
    <sheetView zoomScaleNormal="100" workbookViewId="0">
      <pane xSplit="1" ySplit="3" topLeftCell="B4" activePane="bottomRight" state="frozen"/>
      <selection pane="topRight" activeCell="B1" sqref="B1"/>
      <selection pane="bottomLeft" activeCell="A4" sqref="A4"/>
      <selection pane="bottomRight" activeCell="G10" sqref="G10"/>
    </sheetView>
  </sheetViews>
  <sheetFormatPr defaultColWidth="8.7109375" defaultRowHeight="15" x14ac:dyDescent="0.25"/>
  <cols>
    <col min="1" max="1" width="32" style="15" customWidth="1"/>
    <col min="2" max="6" width="13" style="15" customWidth="1"/>
    <col min="7" max="16384" width="8.7109375" style="15"/>
  </cols>
  <sheetData>
    <row r="1" spans="1:7" ht="30" customHeight="1" x14ac:dyDescent="0.25">
      <c r="A1" s="14" t="s">
        <v>117</v>
      </c>
      <c r="B1" s="14"/>
      <c r="C1" s="14"/>
      <c r="D1" s="14"/>
      <c r="E1" s="14"/>
      <c r="F1" s="14"/>
      <c r="G1" s="14"/>
    </row>
    <row r="2" spans="1:7" ht="15" customHeight="1" x14ac:dyDescent="0.25">
      <c r="A2" s="75" t="s">
        <v>118</v>
      </c>
      <c r="B2" s="75"/>
      <c r="C2" s="75"/>
      <c r="D2" s="75"/>
      <c r="E2" s="75"/>
      <c r="F2" s="75"/>
      <c r="G2" s="75"/>
    </row>
    <row r="3" spans="1:7" ht="18" customHeight="1" x14ac:dyDescent="0.25">
      <c r="A3" s="21" t="s">
        <v>119</v>
      </c>
      <c r="B3" s="22" t="s">
        <v>120</v>
      </c>
      <c r="C3" s="22" t="s">
        <v>121</v>
      </c>
      <c r="D3" s="22" t="s">
        <v>122</v>
      </c>
      <c r="E3" s="22" t="s">
        <v>123</v>
      </c>
      <c r="F3" s="22" t="s">
        <v>124</v>
      </c>
    </row>
    <row r="4" spans="1:7" ht="15" customHeight="1" x14ac:dyDescent="0.25">
      <c r="A4" s="23" t="s">
        <v>125</v>
      </c>
      <c r="B4" s="24">
        <v>12000000</v>
      </c>
      <c r="C4" s="24">
        <v>13560000</v>
      </c>
      <c r="D4" s="24">
        <v>15370000</v>
      </c>
      <c r="E4" s="24">
        <v>17370000</v>
      </c>
      <c r="F4" s="24">
        <v>19850000</v>
      </c>
    </row>
    <row r="5" spans="1:7" ht="15" customHeight="1" x14ac:dyDescent="0.25">
      <c r="A5" s="23" t="s">
        <v>126</v>
      </c>
      <c r="B5" s="24">
        <v>7080000</v>
      </c>
      <c r="C5" s="24">
        <v>8017000</v>
      </c>
      <c r="D5" s="24">
        <v>9068000</v>
      </c>
      <c r="E5" s="24">
        <v>10007000</v>
      </c>
      <c r="F5" s="24">
        <v>11313000</v>
      </c>
    </row>
    <row r="6" spans="1:7" ht="15" customHeight="1" x14ac:dyDescent="0.25">
      <c r="A6" s="25" t="s">
        <v>127</v>
      </c>
      <c r="B6" s="26">
        <f>B4-B5</f>
        <v>4920000</v>
      </c>
      <c r="C6" s="26">
        <f>C4-C5</f>
        <v>5543000</v>
      </c>
      <c r="D6" s="26">
        <f>D4-D5</f>
        <v>6302000</v>
      </c>
      <c r="E6" s="26">
        <f>E4-E5</f>
        <v>7363000</v>
      </c>
      <c r="F6" s="26">
        <f>F4-F5</f>
        <v>8537000</v>
      </c>
    </row>
    <row r="7" spans="1:7" ht="15" customHeight="1" x14ac:dyDescent="0.25">
      <c r="A7" s="23" t="s">
        <v>128</v>
      </c>
      <c r="B7" s="24">
        <v>3120000</v>
      </c>
      <c r="C7" s="24">
        <v>3488000</v>
      </c>
      <c r="D7" s="24">
        <v>3920000</v>
      </c>
      <c r="E7" s="24">
        <v>4430000</v>
      </c>
      <c r="F7" s="24">
        <v>5000000</v>
      </c>
    </row>
    <row r="8" spans="1:7" ht="15" customHeight="1" x14ac:dyDescent="0.25">
      <c r="A8" s="27" t="s">
        <v>129</v>
      </c>
      <c r="B8" s="28">
        <f>B6-B7</f>
        <v>1800000</v>
      </c>
      <c r="C8" s="28">
        <f>C6-C7</f>
        <v>2055000</v>
      </c>
      <c r="D8" s="28">
        <f>D6-D7</f>
        <v>2382000</v>
      </c>
      <c r="E8" s="28">
        <f>E6-E7</f>
        <v>2933000</v>
      </c>
      <c r="F8" s="28">
        <f>F6-F7</f>
        <v>3537000</v>
      </c>
    </row>
    <row r="9" spans="1:7" ht="15" customHeight="1" x14ac:dyDescent="0.25">
      <c r="A9" s="29" t="s">
        <v>130</v>
      </c>
      <c r="B9" s="30">
        <f>IFERROR(B8/B4,0)</f>
        <v>0.15</v>
      </c>
      <c r="C9" s="30">
        <f>IFERROR(C8/C4,0)</f>
        <v>0.15154867256637169</v>
      </c>
      <c r="D9" s="30">
        <f>IFERROR(D8/D4,0)</f>
        <v>0.15497722836694861</v>
      </c>
      <c r="E9" s="30">
        <f>IFERROR(E8/E4,0)</f>
        <v>0.16885434657455384</v>
      </c>
      <c r="F9" s="30">
        <f>IFERROR(F8/F4,0)</f>
        <v>0.17818639798488664</v>
      </c>
    </row>
    <row r="10" spans="1:7" ht="15" customHeight="1" x14ac:dyDescent="0.25">
      <c r="A10" s="23" t="s">
        <v>131</v>
      </c>
      <c r="B10" s="24">
        <v>420000</v>
      </c>
      <c r="C10" s="24">
        <v>440000</v>
      </c>
      <c r="D10" s="24">
        <v>460000</v>
      </c>
      <c r="E10" s="24">
        <v>480000</v>
      </c>
      <c r="F10" s="24">
        <v>500000</v>
      </c>
    </row>
    <row r="11" spans="1:7" ht="15" customHeight="1" x14ac:dyDescent="0.25">
      <c r="A11" s="31" t="s">
        <v>132</v>
      </c>
      <c r="B11" s="32">
        <f>B8-B10</f>
        <v>1380000</v>
      </c>
      <c r="C11" s="32">
        <f>C8-C10</f>
        <v>1615000</v>
      </c>
      <c r="D11" s="32">
        <f>D8-D10</f>
        <v>1922000</v>
      </c>
      <c r="E11" s="32">
        <f>E8-E10</f>
        <v>2453000</v>
      </c>
      <c r="F11" s="32">
        <f>F8-F10</f>
        <v>3037000</v>
      </c>
    </row>
    <row r="12" spans="1:7" ht="15" customHeight="1" x14ac:dyDescent="0.25">
      <c r="A12" s="23" t="s">
        <v>133</v>
      </c>
      <c r="B12" s="24">
        <v>45000</v>
      </c>
      <c r="C12" s="24">
        <v>52000</v>
      </c>
      <c r="D12" s="24">
        <v>61000</v>
      </c>
      <c r="E12" s="24">
        <v>70000</v>
      </c>
      <c r="F12" s="24">
        <v>82000</v>
      </c>
    </row>
    <row r="13" spans="1:7" ht="15" customHeight="1" x14ac:dyDescent="0.25">
      <c r="A13" s="33" t="s">
        <v>134</v>
      </c>
      <c r="B13" s="34">
        <v>285000</v>
      </c>
      <c r="C13" s="34">
        <v>310000</v>
      </c>
      <c r="D13" s="34">
        <v>295000</v>
      </c>
      <c r="E13" s="34">
        <v>270000</v>
      </c>
      <c r="F13" s="34">
        <v>240000</v>
      </c>
    </row>
    <row r="14" spans="1:7" ht="15" customHeight="1" x14ac:dyDescent="0.25">
      <c r="A14" s="31" t="s">
        <v>135</v>
      </c>
      <c r="B14" s="32">
        <f>B11+B12-B13</f>
        <v>1140000</v>
      </c>
      <c r="C14" s="32">
        <f>C11+C12-C13</f>
        <v>1357000</v>
      </c>
      <c r="D14" s="32">
        <f>D11+D12-D13</f>
        <v>1688000</v>
      </c>
      <c r="E14" s="32">
        <f>E11+E12-E13</f>
        <v>2253000</v>
      </c>
      <c r="F14" s="32">
        <f>F11+F12-F13</f>
        <v>2879000</v>
      </c>
    </row>
    <row r="15" spans="1:7" ht="15" customHeight="1" x14ac:dyDescent="0.25">
      <c r="A15" s="33" t="s">
        <v>136</v>
      </c>
      <c r="B15" s="35">
        <f>MAX(0,B14)*0.2517</f>
        <v>286938</v>
      </c>
      <c r="C15" s="35">
        <f>MAX(0,C14)*0.2517</f>
        <v>341556.89999999997</v>
      </c>
      <c r="D15" s="35">
        <f>MAX(0,D14)*0.2517</f>
        <v>424869.6</v>
      </c>
      <c r="E15" s="35">
        <f>MAX(0,E14)*0.2517</f>
        <v>567080.1</v>
      </c>
      <c r="F15" s="35">
        <f>MAX(0,F14)*0.2517</f>
        <v>724644.29999999993</v>
      </c>
    </row>
    <row r="16" spans="1:7" ht="15" customHeight="1" x14ac:dyDescent="0.25">
      <c r="A16" s="27" t="s">
        <v>137</v>
      </c>
      <c r="B16" s="28">
        <f>B14-B15</f>
        <v>853062</v>
      </c>
      <c r="C16" s="28">
        <f>C14-C15</f>
        <v>1015443.1000000001</v>
      </c>
      <c r="D16" s="28">
        <f>D14-D15</f>
        <v>1263130.3999999999</v>
      </c>
      <c r="E16" s="28">
        <f>E14-E15</f>
        <v>1685919.9</v>
      </c>
      <c r="F16" s="28">
        <f>F14-F15</f>
        <v>2154355.7000000002</v>
      </c>
    </row>
    <row r="17" spans="1:7" ht="15" customHeight="1" x14ac:dyDescent="0.25">
      <c r="A17" s="29" t="s">
        <v>138</v>
      </c>
      <c r="B17" s="30">
        <f>IFERROR(B16/B4,0)</f>
        <v>7.1088499999999999E-2</v>
      </c>
      <c r="C17" s="30">
        <f>IFERROR(C16/C4,0)</f>
        <v>7.4885184365781718E-2</v>
      </c>
      <c r="D17" s="30">
        <f>IFERROR(D16/D4,0)</f>
        <v>8.2181548471047486E-2</v>
      </c>
      <c r="E17" s="30">
        <f>IFERROR(E16/E4,0)</f>
        <v>9.7059291882556131E-2</v>
      </c>
      <c r="F17" s="30">
        <f>IFERROR(F16/F4,0)</f>
        <v>0.10853177329974813</v>
      </c>
    </row>
    <row r="18" spans="1:7" ht="15" customHeight="1" x14ac:dyDescent="0.25">
      <c r="A18" s="81"/>
      <c r="B18" s="81"/>
      <c r="C18" s="81"/>
      <c r="D18" s="81"/>
      <c r="E18" s="81"/>
      <c r="F18" s="81"/>
      <c r="G18" s="81"/>
    </row>
    <row r="19" spans="1:7" ht="81" customHeight="1" x14ac:dyDescent="0.25">
      <c r="A19" s="80" t="s">
        <v>139</v>
      </c>
      <c r="B19" s="80"/>
      <c r="C19" s="80"/>
      <c r="D19" s="80"/>
      <c r="E19" s="80"/>
      <c r="F19" s="80"/>
    </row>
  </sheetData>
  <mergeCells count="4">
    <mergeCell ref="A1:G1"/>
    <mergeCell ref="A2:G2"/>
    <mergeCell ref="A18:G18"/>
    <mergeCell ref="A19:F19"/>
  </mergeCells>
  <pageMargins left="0.75" right="0.75" top="1" bottom="1" header="0.511811023622047" footer="0.511811023622047"/>
  <pageSetup paperSize="9" orientation="landscape"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6C3483"/>
  </sheetPr>
  <dimension ref="A1:G28"/>
  <sheetViews>
    <sheetView zoomScaleNormal="100" workbookViewId="0">
      <pane xSplit="1" ySplit="3" topLeftCell="B4" activePane="bottomRight" state="frozen"/>
      <selection pane="topRight" activeCell="B1" sqref="B1"/>
      <selection pane="bottomLeft" activeCell="A4" sqref="A4"/>
      <selection pane="bottomRight"/>
    </sheetView>
  </sheetViews>
  <sheetFormatPr defaultColWidth="8.7109375" defaultRowHeight="15" x14ac:dyDescent="0.25"/>
  <cols>
    <col min="1" max="1" width="32" style="15" customWidth="1"/>
    <col min="2" max="6" width="13" style="15" customWidth="1"/>
    <col min="7" max="16384" width="8.7109375" style="15"/>
  </cols>
  <sheetData>
    <row r="1" spans="1:7" ht="30" customHeight="1" x14ac:dyDescent="0.25">
      <c r="A1" s="14" t="s">
        <v>140</v>
      </c>
      <c r="B1" s="14"/>
      <c r="C1" s="14"/>
      <c r="D1" s="14"/>
      <c r="E1" s="14"/>
      <c r="F1" s="14"/>
      <c r="G1" s="14"/>
    </row>
    <row r="2" spans="1:7" ht="15" customHeight="1" x14ac:dyDescent="0.25">
      <c r="A2" s="75" t="s">
        <v>141</v>
      </c>
      <c r="B2" s="75"/>
      <c r="C2" s="75"/>
      <c r="D2" s="75"/>
      <c r="E2" s="75"/>
      <c r="F2" s="75"/>
      <c r="G2" s="75"/>
    </row>
    <row r="3" spans="1:7" ht="18" customHeight="1" x14ac:dyDescent="0.25">
      <c r="A3" s="21" t="s">
        <v>119</v>
      </c>
      <c r="B3" s="22" t="s">
        <v>120</v>
      </c>
      <c r="C3" s="22" t="s">
        <v>121</v>
      </c>
      <c r="D3" s="22" t="s">
        <v>122</v>
      </c>
      <c r="E3" s="22" t="s">
        <v>123</v>
      </c>
      <c r="F3" s="22" t="s">
        <v>124</v>
      </c>
    </row>
    <row r="4" spans="1:7" ht="21.75" customHeight="1" x14ac:dyDescent="0.25">
      <c r="A4" s="5" t="s">
        <v>142</v>
      </c>
      <c r="B4" s="5"/>
      <c r="C4" s="5"/>
      <c r="D4" s="5"/>
      <c r="E4" s="5"/>
      <c r="F4" s="5"/>
      <c r="G4" s="5"/>
    </row>
    <row r="5" spans="1:7" ht="15" customHeight="1" x14ac:dyDescent="0.25">
      <c r="A5" s="23" t="s">
        <v>143</v>
      </c>
      <c r="B5" s="24">
        <v>3200000</v>
      </c>
      <c r="C5" s="24">
        <v>3350000</v>
      </c>
      <c r="D5" s="24">
        <v>3600000</v>
      </c>
      <c r="E5" s="24">
        <v>3850000</v>
      </c>
      <c r="F5" s="24">
        <v>4100000</v>
      </c>
    </row>
    <row r="6" spans="1:7" ht="15" customHeight="1" x14ac:dyDescent="0.25">
      <c r="A6" s="23" t="s">
        <v>144</v>
      </c>
      <c r="B6" s="24">
        <v>150000</v>
      </c>
      <c r="C6" s="24">
        <v>175000</v>
      </c>
      <c r="D6" s="24">
        <v>205000</v>
      </c>
      <c r="E6" s="24">
        <v>240000</v>
      </c>
      <c r="F6" s="24">
        <v>280000</v>
      </c>
    </row>
    <row r="7" spans="1:7" ht="15" customHeight="1" x14ac:dyDescent="0.25">
      <c r="A7" s="23" t="s">
        <v>145</v>
      </c>
      <c r="B7" s="24">
        <v>510000</v>
      </c>
      <c r="C7" s="24">
        <v>685000</v>
      </c>
      <c r="D7" s="24">
        <v>905000</v>
      </c>
      <c r="E7" s="24">
        <v>1198000</v>
      </c>
      <c r="F7" s="24">
        <v>1595000</v>
      </c>
    </row>
    <row r="8" spans="1:7" ht="15" customHeight="1" x14ac:dyDescent="0.25">
      <c r="A8" s="23" t="s">
        <v>146</v>
      </c>
      <c r="B8" s="24">
        <v>1480000</v>
      </c>
      <c r="C8" s="24">
        <v>1670000</v>
      </c>
      <c r="D8" s="24">
        <v>1893000</v>
      </c>
      <c r="E8" s="24">
        <v>2140000</v>
      </c>
      <c r="F8" s="24">
        <v>2445000</v>
      </c>
    </row>
    <row r="9" spans="1:7" ht="15" customHeight="1" x14ac:dyDescent="0.25">
      <c r="A9" s="23" t="s">
        <v>147</v>
      </c>
      <c r="B9" s="24">
        <v>1180000</v>
      </c>
      <c r="C9" s="24">
        <v>1350000</v>
      </c>
      <c r="D9" s="24">
        <v>1550000</v>
      </c>
      <c r="E9" s="24">
        <v>1780000</v>
      </c>
      <c r="F9" s="24">
        <v>2050000</v>
      </c>
    </row>
    <row r="10" spans="1:7" ht="15" customHeight="1" x14ac:dyDescent="0.25">
      <c r="A10" s="23" t="s">
        <v>148</v>
      </c>
      <c r="B10" s="24">
        <v>180000</v>
      </c>
      <c r="C10" s="24">
        <v>195000</v>
      </c>
      <c r="D10" s="24">
        <v>210000</v>
      </c>
      <c r="E10" s="24">
        <v>225000</v>
      </c>
      <c r="F10" s="24">
        <v>240000</v>
      </c>
    </row>
    <row r="11" spans="1:7" ht="15" customHeight="1" x14ac:dyDescent="0.25">
      <c r="A11" s="25" t="s">
        <v>149</v>
      </c>
      <c r="B11" s="26">
        <f>SUM(B7:B10)</f>
        <v>3350000</v>
      </c>
      <c r="C11" s="26">
        <f>SUM(C7:C10)</f>
        <v>3900000</v>
      </c>
      <c r="D11" s="26">
        <f>SUM(D7:D10)</f>
        <v>4558000</v>
      </c>
      <c r="E11" s="26">
        <f>SUM(E7:E10)</f>
        <v>5343000</v>
      </c>
      <c r="F11" s="26">
        <f>SUM(F7:F10)</f>
        <v>6330000</v>
      </c>
    </row>
    <row r="12" spans="1:7" ht="15" customHeight="1" x14ac:dyDescent="0.25">
      <c r="A12" s="36" t="s">
        <v>150</v>
      </c>
      <c r="B12" s="37">
        <f>B5+B6+B11</f>
        <v>6700000</v>
      </c>
      <c r="C12" s="37">
        <f>C5+C6+C11</f>
        <v>7425000</v>
      </c>
      <c r="D12" s="37">
        <f>D5+D6+D11</f>
        <v>8363000</v>
      </c>
      <c r="E12" s="37">
        <f>E5+E6+E11</f>
        <v>9433000</v>
      </c>
      <c r="F12" s="37">
        <f>F5+F6+F11</f>
        <v>10710000</v>
      </c>
    </row>
    <row r="13" spans="1:7" ht="21.75" customHeight="1" x14ac:dyDescent="0.25">
      <c r="A13" s="81"/>
      <c r="B13" s="81"/>
      <c r="C13" s="81"/>
      <c r="D13" s="81"/>
      <c r="E13" s="81"/>
      <c r="F13" s="81"/>
      <c r="G13" s="81"/>
    </row>
    <row r="14" spans="1:7" ht="15" customHeight="1" x14ac:dyDescent="0.25">
      <c r="A14" s="38" t="s">
        <v>151</v>
      </c>
    </row>
    <row r="15" spans="1:7" ht="15" customHeight="1" x14ac:dyDescent="0.25">
      <c r="A15" s="23" t="s">
        <v>152</v>
      </c>
      <c r="B15" s="24">
        <v>1500000</v>
      </c>
      <c r="C15" s="24">
        <v>1500000</v>
      </c>
      <c r="D15" s="24">
        <v>1500000</v>
      </c>
      <c r="E15" s="24">
        <v>1500000</v>
      </c>
      <c r="F15" s="24">
        <v>1500000</v>
      </c>
    </row>
    <row r="16" spans="1:7" ht="15" customHeight="1" x14ac:dyDescent="0.25">
      <c r="A16" s="23" t="s">
        <v>153</v>
      </c>
      <c r="B16" s="24">
        <v>2150000</v>
      </c>
      <c r="C16" s="24">
        <v>2912000</v>
      </c>
      <c r="D16" s="24">
        <v>3868000</v>
      </c>
      <c r="E16" s="24">
        <v>4948000</v>
      </c>
      <c r="F16" s="24">
        <v>6211000</v>
      </c>
    </row>
    <row r="17" spans="1:6" ht="15" customHeight="1" x14ac:dyDescent="0.25">
      <c r="A17" s="25" t="s">
        <v>154</v>
      </c>
      <c r="B17" s="26">
        <f>B15+B16</f>
        <v>3650000</v>
      </c>
      <c r="C17" s="26">
        <f>C15+C16</f>
        <v>4412000</v>
      </c>
      <c r="D17" s="26">
        <f>D15+D16</f>
        <v>5368000</v>
      </c>
      <c r="E17" s="26">
        <f>E15+E16</f>
        <v>6448000</v>
      </c>
      <c r="F17" s="26">
        <f>F15+F16</f>
        <v>7711000</v>
      </c>
    </row>
    <row r="18" spans="1:6" ht="15" customHeight="1" x14ac:dyDescent="0.25">
      <c r="A18" s="33" t="s">
        <v>155</v>
      </c>
      <c r="B18" s="34">
        <v>1600000</v>
      </c>
      <c r="C18" s="34">
        <v>1450000</v>
      </c>
      <c r="D18" s="34">
        <v>1280000</v>
      </c>
      <c r="E18" s="34">
        <v>1090000</v>
      </c>
      <c r="F18" s="34">
        <v>880000</v>
      </c>
    </row>
    <row r="19" spans="1:6" ht="15" customHeight="1" x14ac:dyDescent="0.25">
      <c r="A19" s="33" t="s">
        <v>156</v>
      </c>
      <c r="B19" s="34">
        <v>90000</v>
      </c>
      <c r="C19" s="34">
        <v>105000</v>
      </c>
      <c r="D19" s="34">
        <v>125000</v>
      </c>
      <c r="E19" s="34">
        <v>148000</v>
      </c>
      <c r="F19" s="34">
        <v>175000</v>
      </c>
    </row>
    <row r="20" spans="1:6" ht="15" customHeight="1" x14ac:dyDescent="0.25">
      <c r="A20" s="39" t="s">
        <v>157</v>
      </c>
      <c r="B20" s="40">
        <v>980000</v>
      </c>
      <c r="C20" s="40">
        <v>1080000</v>
      </c>
      <c r="D20" s="40">
        <v>1210000</v>
      </c>
      <c r="E20" s="40">
        <v>1360000</v>
      </c>
      <c r="F20" s="40">
        <v>1540000</v>
      </c>
    </row>
    <row r="21" spans="1:6" ht="15" customHeight="1" x14ac:dyDescent="0.25">
      <c r="A21" s="39" t="s">
        <v>158</v>
      </c>
      <c r="B21" s="40">
        <v>200000</v>
      </c>
      <c r="C21" s="40">
        <v>180000</v>
      </c>
      <c r="D21" s="40">
        <v>160000</v>
      </c>
      <c r="E21" s="40">
        <v>140000</v>
      </c>
      <c r="F21" s="40">
        <v>120000</v>
      </c>
    </row>
    <row r="22" spans="1:6" ht="15" customHeight="1" x14ac:dyDescent="0.25">
      <c r="A22" s="39" t="s">
        <v>159</v>
      </c>
      <c r="B22" s="40">
        <v>180000</v>
      </c>
      <c r="C22" s="40">
        <v>198000</v>
      </c>
      <c r="D22" s="40">
        <v>220000</v>
      </c>
      <c r="E22" s="40">
        <v>247000</v>
      </c>
      <c r="F22" s="40">
        <v>284000</v>
      </c>
    </row>
    <row r="23" spans="1:6" ht="15" customHeight="1" x14ac:dyDescent="0.25">
      <c r="A23" s="41" t="s">
        <v>160</v>
      </c>
      <c r="B23" s="42">
        <f>SUM(B20:B22)</f>
        <v>1360000</v>
      </c>
      <c r="C23" s="42">
        <f>SUM(C20:C22)</f>
        <v>1458000</v>
      </c>
      <c r="D23" s="42">
        <f>SUM(D20:D22)</f>
        <v>1590000</v>
      </c>
      <c r="E23" s="42">
        <f>SUM(E20:E22)</f>
        <v>1747000</v>
      </c>
      <c r="F23" s="42">
        <f>SUM(F20:F22)</f>
        <v>1944000</v>
      </c>
    </row>
    <row r="24" spans="1:6" ht="21.75" customHeight="1" x14ac:dyDescent="0.25">
      <c r="A24" s="41" t="s">
        <v>161</v>
      </c>
      <c r="B24" s="42">
        <f>B18+B21</f>
        <v>1800000</v>
      </c>
      <c r="C24" s="42">
        <f>C18+C21</f>
        <v>1630000</v>
      </c>
      <c r="D24" s="42">
        <f>D18+D21</f>
        <v>1440000</v>
      </c>
      <c r="E24" s="42">
        <f>E18+E21</f>
        <v>1230000</v>
      </c>
      <c r="F24" s="42">
        <f>F18+F21</f>
        <v>1000000</v>
      </c>
    </row>
    <row r="25" spans="1:6" ht="21.75" customHeight="1" x14ac:dyDescent="0.25">
      <c r="A25" s="43" t="s">
        <v>162</v>
      </c>
      <c r="B25" s="44">
        <f>B17+B18+B19+B23</f>
        <v>6700000</v>
      </c>
      <c r="C25" s="44">
        <f>C17+C18+C19+C23</f>
        <v>7425000</v>
      </c>
      <c r="D25" s="44">
        <f>D17+D18+D19+D23</f>
        <v>8363000</v>
      </c>
      <c r="E25" s="44">
        <f>E17+E18+E19+E23</f>
        <v>9433000</v>
      </c>
      <c r="F25" s="44">
        <f>F17+F18+F19+F23</f>
        <v>10710000</v>
      </c>
    </row>
    <row r="26" spans="1:6" ht="28.5" customHeight="1" x14ac:dyDescent="0.25">
      <c r="A26" s="45" t="s">
        <v>163</v>
      </c>
      <c r="B26" s="46">
        <f>B12-B25</f>
        <v>0</v>
      </c>
      <c r="C26" s="46">
        <f>C12-C25</f>
        <v>0</v>
      </c>
      <c r="D26" s="46">
        <f>D12-D25</f>
        <v>0</v>
      </c>
      <c r="E26" s="46">
        <f>E12-E25</f>
        <v>0</v>
      </c>
      <c r="F26" s="46">
        <f>F12-F25</f>
        <v>0</v>
      </c>
    </row>
    <row r="27" spans="1:6" ht="45.75" customHeight="1" x14ac:dyDescent="0.25"/>
    <row r="28" spans="1:6" ht="45.75" customHeight="1" x14ac:dyDescent="0.25">
      <c r="A28" s="80" t="s">
        <v>164</v>
      </c>
      <c r="B28" s="80"/>
      <c r="C28" s="80"/>
      <c r="D28" s="80"/>
      <c r="E28" s="80"/>
    </row>
  </sheetData>
  <mergeCells count="5">
    <mergeCell ref="A1:G1"/>
    <mergeCell ref="A2:G2"/>
    <mergeCell ref="A4:G4"/>
    <mergeCell ref="A13:G13"/>
    <mergeCell ref="A28:E28"/>
  </mergeCells>
  <pageMargins left="0.75" right="0.75" top="1" bottom="1" header="0.511811023622047" footer="0.511811023622047"/>
  <pageSetup paperSize="9" orientation="landscape"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1B4F72"/>
  </sheetPr>
  <dimension ref="A1:F21"/>
  <sheetViews>
    <sheetView zoomScaleNormal="100" workbookViewId="0">
      <pane xSplit="1" ySplit="3" topLeftCell="B4" activePane="bottomRight" state="frozen"/>
      <selection pane="topRight" activeCell="B1" sqref="B1"/>
      <selection pane="bottomLeft" activeCell="A4" sqref="A4"/>
      <selection pane="bottomRight" activeCell="F24" sqref="F24"/>
    </sheetView>
  </sheetViews>
  <sheetFormatPr defaultColWidth="8.7109375" defaultRowHeight="15" x14ac:dyDescent="0.25"/>
  <cols>
    <col min="1" max="1" width="32" style="15" customWidth="1"/>
    <col min="2" max="5" width="13" style="15" customWidth="1"/>
    <col min="6" max="6" width="23.42578125" style="15" customWidth="1"/>
    <col min="7" max="16384" width="8.7109375" style="15"/>
  </cols>
  <sheetData>
    <row r="1" spans="1:6" ht="30" customHeight="1" x14ac:dyDescent="0.25">
      <c r="A1" s="14" t="s">
        <v>165</v>
      </c>
      <c r="B1" s="14"/>
      <c r="C1" s="14"/>
      <c r="D1" s="14"/>
      <c r="E1" s="14"/>
      <c r="F1" s="14"/>
    </row>
    <row r="2" spans="1:6" ht="15" customHeight="1" x14ac:dyDescent="0.25">
      <c r="A2" s="75" t="s">
        <v>166</v>
      </c>
      <c r="B2" s="75"/>
      <c r="C2" s="75"/>
      <c r="D2" s="75"/>
      <c r="E2" s="75"/>
      <c r="F2" s="75"/>
    </row>
    <row r="3" spans="1:6" ht="18" customHeight="1" x14ac:dyDescent="0.25">
      <c r="A3" s="21" t="s">
        <v>119</v>
      </c>
      <c r="B3" s="22" t="s">
        <v>120</v>
      </c>
      <c r="C3" s="22" t="s">
        <v>121</v>
      </c>
      <c r="D3" s="22" t="s">
        <v>122</v>
      </c>
      <c r="E3" s="22" t="s">
        <v>123</v>
      </c>
      <c r="F3" s="22" t="s">
        <v>124</v>
      </c>
    </row>
    <row r="4" spans="1:6" ht="21.75" customHeight="1" x14ac:dyDescent="0.25">
      <c r="A4" s="5" t="s">
        <v>167</v>
      </c>
      <c r="B4" s="5"/>
      <c r="C4" s="5"/>
      <c r="D4" s="5"/>
      <c r="E4" s="5"/>
      <c r="F4" s="5"/>
    </row>
    <row r="5" spans="1:6" ht="15" customHeight="1" x14ac:dyDescent="0.25">
      <c r="A5" s="23" t="s">
        <v>168</v>
      </c>
      <c r="B5" s="24">
        <v>1050000</v>
      </c>
      <c r="C5" s="24">
        <v>1240000</v>
      </c>
      <c r="D5" s="24">
        <v>1480000</v>
      </c>
      <c r="E5" s="24">
        <v>1850000</v>
      </c>
      <c r="F5" s="24">
        <v>2280000</v>
      </c>
    </row>
    <row r="7" spans="1:6" ht="21.75" customHeight="1" x14ac:dyDescent="0.25">
      <c r="A7" s="4" t="s">
        <v>169</v>
      </c>
      <c r="B7" s="4"/>
      <c r="C7" s="4"/>
      <c r="D7" s="4"/>
      <c r="E7" s="4"/>
      <c r="F7" s="4"/>
    </row>
    <row r="8" spans="1:6" ht="15" customHeight="1" x14ac:dyDescent="0.25">
      <c r="A8" s="33" t="s">
        <v>170</v>
      </c>
      <c r="B8" s="34">
        <v>-380000</v>
      </c>
      <c r="C8" s="34">
        <v>-420000</v>
      </c>
      <c r="D8" s="34">
        <v>-480000</v>
      </c>
      <c r="E8" s="34">
        <v>-530000</v>
      </c>
      <c r="F8" s="34">
        <v>-580000</v>
      </c>
    </row>
    <row r="9" spans="1:6" ht="15" customHeight="1" x14ac:dyDescent="0.25">
      <c r="A9" s="47" t="s">
        <v>171</v>
      </c>
      <c r="B9" s="48">
        <f>B8</f>
        <v>-380000</v>
      </c>
      <c r="C9" s="48">
        <f>C8</f>
        <v>-420000</v>
      </c>
      <c r="D9" s="48">
        <f>D8</f>
        <v>-480000</v>
      </c>
      <c r="E9" s="48">
        <f>E8</f>
        <v>-530000</v>
      </c>
      <c r="F9" s="48">
        <f>F8</f>
        <v>-580000</v>
      </c>
    </row>
    <row r="11" spans="1:6" ht="21.75" customHeight="1" x14ac:dyDescent="0.25">
      <c r="A11" s="1" t="s">
        <v>172</v>
      </c>
      <c r="B11" s="1"/>
      <c r="C11" s="1"/>
      <c r="D11" s="1"/>
      <c r="E11" s="1"/>
      <c r="F11" s="1"/>
    </row>
    <row r="12" spans="1:6" ht="15" customHeight="1" x14ac:dyDescent="0.25">
      <c r="A12" s="23" t="s">
        <v>173</v>
      </c>
      <c r="B12" s="24">
        <v>0</v>
      </c>
      <c r="C12" s="24">
        <v>0</v>
      </c>
      <c r="D12" s="24">
        <v>0</v>
      </c>
      <c r="E12" s="24">
        <v>0</v>
      </c>
      <c r="F12" s="24">
        <v>0</v>
      </c>
    </row>
    <row r="13" spans="1:6" ht="15" customHeight="1" x14ac:dyDescent="0.25">
      <c r="A13" s="23" t="s">
        <v>174</v>
      </c>
      <c r="B13" s="24">
        <v>0</v>
      </c>
      <c r="C13" s="24">
        <v>0</v>
      </c>
      <c r="D13" s="24">
        <v>0</v>
      </c>
      <c r="E13" s="24">
        <v>0</v>
      </c>
      <c r="F13" s="24">
        <v>0</v>
      </c>
    </row>
    <row r="14" spans="1:6" ht="15" customHeight="1" x14ac:dyDescent="0.25">
      <c r="A14" s="33" t="s">
        <v>175</v>
      </c>
      <c r="B14" s="34">
        <v>-150000</v>
      </c>
      <c r="C14" s="34">
        <v>-150000</v>
      </c>
      <c r="D14" s="34">
        <v>-170000</v>
      </c>
      <c r="E14" s="34">
        <v>-190000</v>
      </c>
      <c r="F14" s="34">
        <v>-210000</v>
      </c>
    </row>
    <row r="15" spans="1:6" ht="15" customHeight="1" x14ac:dyDescent="0.25">
      <c r="A15" s="33" t="s">
        <v>176</v>
      </c>
      <c r="B15" s="34">
        <v>-280000</v>
      </c>
      <c r="C15" s="34">
        <v>-305000</v>
      </c>
      <c r="D15" s="34">
        <v>-292000</v>
      </c>
      <c r="E15" s="34">
        <v>-268000</v>
      </c>
      <c r="F15" s="34">
        <v>-238000</v>
      </c>
    </row>
    <row r="16" spans="1:6" ht="15" customHeight="1" x14ac:dyDescent="0.25">
      <c r="A16" s="33" t="s">
        <v>177</v>
      </c>
      <c r="B16" s="34">
        <v>-239532</v>
      </c>
      <c r="C16" s="34">
        <v>-291484</v>
      </c>
      <c r="D16" s="34">
        <v>-588539</v>
      </c>
      <c r="E16" s="34">
        <v>-869995</v>
      </c>
      <c r="F16" s="34">
        <v>-1050000</v>
      </c>
    </row>
    <row r="17" spans="1:6" ht="15" customHeight="1" x14ac:dyDescent="0.25">
      <c r="A17" s="49" t="s">
        <v>178</v>
      </c>
      <c r="B17" s="50">
        <f>B12+B13+B14+B15+B16</f>
        <v>-669532</v>
      </c>
      <c r="C17" s="50">
        <f>C12+C13+C14+C15+C16</f>
        <v>-746484</v>
      </c>
      <c r="D17" s="50">
        <f>D12+D13+D14+D15+D16</f>
        <v>-1050539</v>
      </c>
      <c r="E17" s="50">
        <f>E12+E13+E14+E15+E16</f>
        <v>-1327995</v>
      </c>
      <c r="F17" s="50">
        <f>F12+F13+F14+F15+F16</f>
        <v>-1498000</v>
      </c>
    </row>
    <row r="18" spans="1:6" ht="15" customHeight="1" x14ac:dyDescent="0.25"/>
    <row r="19" spans="1:6" ht="15" customHeight="1" x14ac:dyDescent="0.25">
      <c r="A19" s="51" t="s">
        <v>179</v>
      </c>
      <c r="B19" s="52">
        <f>B5+B9+B17</f>
        <v>468</v>
      </c>
      <c r="C19" s="52">
        <f>C5+C9+C17</f>
        <v>73516</v>
      </c>
      <c r="D19" s="52">
        <f>D5+D9+D17</f>
        <v>-50539</v>
      </c>
      <c r="E19" s="52">
        <f>E5+E9+E17</f>
        <v>-7995</v>
      </c>
      <c r="F19" s="52">
        <f>F5+F9+F17</f>
        <v>202000</v>
      </c>
    </row>
    <row r="20" spans="1:6" ht="27.75" customHeight="1" x14ac:dyDescent="0.25"/>
    <row r="21" spans="1:6" ht="27.75" customHeight="1" x14ac:dyDescent="0.25">
      <c r="A21" s="80" t="s">
        <v>180</v>
      </c>
      <c r="B21" s="80"/>
      <c r="C21" s="80"/>
      <c r="D21" s="80"/>
      <c r="E21" s="80"/>
    </row>
  </sheetData>
  <mergeCells count="6">
    <mergeCell ref="A21:E21"/>
    <mergeCell ref="A1:F1"/>
    <mergeCell ref="A2:F2"/>
    <mergeCell ref="A4:F4"/>
    <mergeCell ref="A7:F7"/>
    <mergeCell ref="A11:F11"/>
  </mergeCells>
  <pageMargins left="0.75" right="0.75" top="1" bottom="1" header="0.511811023622047" footer="0.511811023622047"/>
  <pageSetup paperSize="9" orientation="landscape"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D4AC0D"/>
  </sheetPr>
  <dimension ref="A1:J44"/>
  <sheetViews>
    <sheetView tabSelected="1" zoomScaleNormal="100" workbookViewId="0">
      <pane ySplit="3" topLeftCell="A4" activePane="bottomLeft" state="frozen"/>
      <selection pane="bottomLeft" activeCell="L7" sqref="L7"/>
    </sheetView>
  </sheetViews>
  <sheetFormatPr defaultColWidth="8.7109375" defaultRowHeight="15" x14ac:dyDescent="0.25"/>
  <cols>
    <col min="1" max="1" width="21.28515625" style="15" customWidth="1"/>
    <col min="2" max="2" width="25" style="15" customWidth="1"/>
    <col min="3" max="3" width="45.28515625" style="15" customWidth="1"/>
    <col min="4" max="8" width="10" style="15" customWidth="1"/>
    <col min="9" max="9" width="16" style="15" customWidth="1"/>
    <col min="10" max="10" width="34" style="15" customWidth="1"/>
    <col min="11" max="16384" width="8.7109375" style="15"/>
  </cols>
  <sheetData>
    <row r="1" spans="1:10" ht="30" customHeight="1" x14ac:dyDescent="0.25">
      <c r="A1" s="14" t="s">
        <v>181</v>
      </c>
      <c r="B1" s="14"/>
      <c r="C1" s="14"/>
      <c r="D1" s="14"/>
      <c r="E1" s="14"/>
      <c r="F1" s="14"/>
      <c r="G1" s="14"/>
      <c r="H1" s="14"/>
      <c r="I1" s="14"/>
      <c r="J1" s="14"/>
    </row>
    <row r="2" spans="1:10" ht="15" customHeight="1" x14ac:dyDescent="0.25">
      <c r="A2" s="75" t="s">
        <v>182</v>
      </c>
      <c r="B2" s="75"/>
      <c r="C2" s="75"/>
      <c r="D2" s="75"/>
      <c r="E2" s="75"/>
      <c r="F2" s="75"/>
      <c r="G2" s="75"/>
      <c r="H2" s="75"/>
      <c r="I2" s="75"/>
      <c r="J2" s="75"/>
    </row>
    <row r="3" spans="1:10" ht="31.5" customHeight="1" x14ac:dyDescent="0.25">
      <c r="A3" s="22" t="s">
        <v>50</v>
      </c>
      <c r="B3" s="22" t="s">
        <v>183</v>
      </c>
      <c r="C3" s="22" t="s">
        <v>184</v>
      </c>
      <c r="D3" s="22" t="s">
        <v>120</v>
      </c>
      <c r="E3" s="22" t="s">
        <v>121</v>
      </c>
      <c r="F3" s="22" t="s">
        <v>122</v>
      </c>
      <c r="G3" s="22" t="s">
        <v>123</v>
      </c>
      <c r="H3" s="22" t="s">
        <v>124</v>
      </c>
      <c r="I3" s="22" t="s">
        <v>185</v>
      </c>
      <c r="J3" s="22" t="s">
        <v>186</v>
      </c>
    </row>
    <row r="4" spans="1:10" ht="21.75" customHeight="1" x14ac:dyDescent="0.25">
      <c r="A4" s="5" t="s">
        <v>187</v>
      </c>
      <c r="B4" s="5"/>
      <c r="C4" s="5"/>
      <c r="D4" s="5"/>
      <c r="E4" s="5"/>
      <c r="F4" s="5"/>
      <c r="G4" s="5"/>
      <c r="H4" s="5"/>
      <c r="I4" s="5"/>
      <c r="J4" s="5"/>
    </row>
    <row r="5" spans="1:10" ht="30" customHeight="1" x14ac:dyDescent="0.25">
      <c r="A5" s="31" t="s">
        <v>53</v>
      </c>
      <c r="B5" s="53" t="s">
        <v>188</v>
      </c>
      <c r="C5" s="54" t="s">
        <v>189</v>
      </c>
      <c r="D5" s="55">
        <f>IFERROR('🏛 BALANCE SHEET INPUT'!B11/'🏛 BALANCE SHEET INPUT'!B23,0)</f>
        <v>2.4632352941176472</v>
      </c>
      <c r="E5" s="55">
        <f>IFERROR('🏛 BALANCE SHEET INPUT'!C11/'🏛 BALANCE SHEET INPUT'!C23,0)</f>
        <v>2.6748971193415638</v>
      </c>
      <c r="F5" s="55">
        <f>IFERROR('🏛 BALANCE SHEET INPUT'!D11/'🏛 BALANCE SHEET INPUT'!D23,0)</f>
        <v>2.8666666666666667</v>
      </c>
      <c r="G5" s="55">
        <f>IFERROR('🏛 BALANCE SHEET INPUT'!E11/'🏛 BALANCE SHEET INPUT'!E23,0)</f>
        <v>3.0583858042358329</v>
      </c>
      <c r="H5" s="55">
        <f>IFERROR('🏛 BALANCE SHEET INPUT'!F11/'🏛 BALANCE SHEET INPUT'!F23,0)</f>
        <v>3.2561728395061729</v>
      </c>
      <c r="I5" s="56" t="s">
        <v>54</v>
      </c>
      <c r="J5" s="57" t="str">
        <f>IF(G5=0,"Base year",IF(H5&gt;G5,"✅ Improved vs prior year",IF(H5&lt;G5,"⚠ Declined vs prior year","➖ Unchanged")))</f>
        <v>✅ Improved vs prior year</v>
      </c>
    </row>
    <row r="6" spans="1:10" ht="30" customHeight="1" x14ac:dyDescent="0.25">
      <c r="A6" s="31" t="s">
        <v>190</v>
      </c>
      <c r="B6" s="53" t="s">
        <v>191</v>
      </c>
      <c r="C6" s="54" t="s">
        <v>192</v>
      </c>
      <c r="D6" s="55">
        <f>IFERROR(('🏛 BALANCE SHEET INPUT'!B11-'🏛 BALANCE SHEET INPUT'!B9)/'🏛 BALANCE SHEET INPUT'!B23,0)</f>
        <v>1.5955882352941178</v>
      </c>
      <c r="E6" s="55">
        <f>IFERROR(('🏛 BALANCE SHEET INPUT'!C11-'🏛 BALANCE SHEET INPUT'!C9)/'🏛 BALANCE SHEET INPUT'!C23,0)</f>
        <v>1.7489711934156378</v>
      </c>
      <c r="F6" s="55">
        <f>IFERROR(('🏛 BALANCE SHEET INPUT'!D11-'🏛 BALANCE SHEET INPUT'!D9)/'🏛 BALANCE SHEET INPUT'!D23,0)</f>
        <v>1.8918238993710692</v>
      </c>
      <c r="G6" s="55">
        <f>IFERROR(('🏛 BALANCE SHEET INPUT'!E11-'🏛 BALANCE SHEET INPUT'!E9)/'🏛 BALANCE SHEET INPUT'!E23,0)</f>
        <v>2.0394962793360047</v>
      </c>
      <c r="H6" s="55">
        <f>IFERROR(('🏛 BALANCE SHEET INPUT'!F11-'🏛 BALANCE SHEET INPUT'!F9)/'🏛 BALANCE SHEET INPUT'!F23,0)</f>
        <v>2.2016460905349793</v>
      </c>
      <c r="I6" s="56" t="s">
        <v>57</v>
      </c>
      <c r="J6" s="57" t="str">
        <f>IF(G6=0,"Base year",IF(H6&gt;G6,"✅ Improved vs prior year",IF(H6&lt;G6,"⚠ Declined vs prior year","➖ Unchanged")))</f>
        <v>✅ Improved vs prior year</v>
      </c>
    </row>
    <row r="7" spans="1:10" ht="30" customHeight="1" x14ac:dyDescent="0.25">
      <c r="A7" s="31" t="s">
        <v>59</v>
      </c>
      <c r="B7" s="53" t="s">
        <v>193</v>
      </c>
      <c r="C7" s="54" t="s">
        <v>194</v>
      </c>
      <c r="D7" s="55">
        <f>IFERROR('🏛 BALANCE SHEET INPUT'!B7/'🏛 BALANCE SHEET INPUT'!B23,0)</f>
        <v>0.375</v>
      </c>
      <c r="E7" s="55">
        <f>IFERROR('🏛 BALANCE SHEET INPUT'!C7/'🏛 BALANCE SHEET INPUT'!C23,0)</f>
        <v>0.46982167352537724</v>
      </c>
      <c r="F7" s="55">
        <f>IFERROR('🏛 BALANCE SHEET INPUT'!D7/'🏛 BALANCE SHEET INPUT'!D23,0)</f>
        <v>0.5691823899371069</v>
      </c>
      <c r="G7" s="55">
        <f>IFERROR('🏛 BALANCE SHEET INPUT'!E7/'🏛 BALANCE SHEET INPUT'!E23,0)</f>
        <v>0.68574699484831136</v>
      </c>
      <c r="H7" s="55">
        <f>IFERROR('🏛 BALANCE SHEET INPUT'!F7/'🏛 BALANCE SHEET INPUT'!F23,0)</f>
        <v>0.82047325102880664</v>
      </c>
      <c r="I7" s="56" t="s">
        <v>60</v>
      </c>
      <c r="J7" s="57" t="str">
        <f>IF(G7=0,"Base year",IF(H7&gt;G7,"✅ Improved vs prior year",IF(H7&lt;G7,"⚠ Declined vs prior year","➖ Unchanged")))</f>
        <v>✅ Improved vs prior year</v>
      </c>
    </row>
    <row r="9" spans="1:10" ht="21.75" customHeight="1" x14ac:dyDescent="0.25">
      <c r="A9" s="4" t="s">
        <v>195</v>
      </c>
      <c r="B9" s="4"/>
      <c r="C9" s="4"/>
      <c r="D9" s="4"/>
      <c r="E9" s="4"/>
      <c r="F9" s="4"/>
      <c r="G9" s="4"/>
      <c r="H9" s="4"/>
      <c r="I9" s="4"/>
      <c r="J9" s="4"/>
    </row>
    <row r="10" spans="1:10" ht="30" customHeight="1" x14ac:dyDescent="0.25">
      <c r="A10" s="31" t="s">
        <v>62</v>
      </c>
      <c r="B10" s="53" t="s">
        <v>196</v>
      </c>
      <c r="C10" s="54" t="s">
        <v>197</v>
      </c>
      <c r="D10" s="58">
        <f>IFERROR('📈 P&amp;L INPUT'!B6/'📈 P&amp;L INPUT'!B4,0)</f>
        <v>0.41</v>
      </c>
      <c r="E10" s="58">
        <f>IFERROR('📈 P&amp;L INPUT'!C6/'📈 P&amp;L INPUT'!C4,0)</f>
        <v>0.40877581120943951</v>
      </c>
      <c r="F10" s="58">
        <f>IFERROR('📈 P&amp;L INPUT'!D6/'📈 P&amp;L INPUT'!D4,0)</f>
        <v>0.41001951854261548</v>
      </c>
      <c r="G10" s="58">
        <f>IFERROR('📈 P&amp;L INPUT'!E6/'📈 P&amp;L INPUT'!E4,0)</f>
        <v>0.4238917674150835</v>
      </c>
      <c r="H10" s="58">
        <f>IFERROR('📈 P&amp;L INPUT'!F6/'📈 P&amp;L INPUT'!F4,0)</f>
        <v>0.43007556675062975</v>
      </c>
      <c r="I10" s="56" t="s">
        <v>63</v>
      </c>
      <c r="J10" s="57" t="str">
        <f t="shared" ref="J10:J15" si="0">IF(G10=0,"Base year",IF(H10&gt;G10,"✅ Improved vs prior year",IF(H10&lt;G10,"⚠ Declined vs prior year","➖ Unchanged")))</f>
        <v>✅ Improved vs prior year</v>
      </c>
    </row>
    <row r="11" spans="1:10" ht="30" customHeight="1" x14ac:dyDescent="0.25">
      <c r="A11" s="31" t="s">
        <v>198</v>
      </c>
      <c r="B11" s="53" t="s">
        <v>199</v>
      </c>
      <c r="C11" s="54" t="s">
        <v>200</v>
      </c>
      <c r="D11" s="58">
        <f>IFERROR('📈 P&amp;L INPUT'!B8/'📈 P&amp;L INPUT'!B4,0)</f>
        <v>0.15</v>
      </c>
      <c r="E11" s="58">
        <f>IFERROR('📈 P&amp;L INPUT'!C8/'📈 P&amp;L INPUT'!C4,0)</f>
        <v>0.15154867256637169</v>
      </c>
      <c r="F11" s="58">
        <f>IFERROR('📈 P&amp;L INPUT'!D8/'📈 P&amp;L INPUT'!D4,0)</f>
        <v>0.15497722836694861</v>
      </c>
      <c r="G11" s="58">
        <f>IFERROR('📈 P&amp;L INPUT'!E8/'📈 P&amp;L INPUT'!E4,0)</f>
        <v>0.16885434657455384</v>
      </c>
      <c r="H11" s="58">
        <f>IFERROR('📈 P&amp;L INPUT'!F8/'📈 P&amp;L INPUT'!F4,0)</f>
        <v>0.17818639798488664</v>
      </c>
      <c r="I11" s="56" t="s">
        <v>201</v>
      </c>
      <c r="J11" s="57" t="str">
        <f t="shared" si="0"/>
        <v>✅ Improved vs prior year</v>
      </c>
    </row>
    <row r="12" spans="1:10" ht="30" customHeight="1" x14ac:dyDescent="0.25">
      <c r="A12" s="31" t="s">
        <v>65</v>
      </c>
      <c r="B12" s="53" t="s">
        <v>202</v>
      </c>
      <c r="C12" s="54" t="s">
        <v>203</v>
      </c>
      <c r="D12" s="58">
        <f>IFERROR('📈 P&amp;L INPUT'!B16/'📈 P&amp;L INPUT'!B4,0)</f>
        <v>7.1088499999999999E-2</v>
      </c>
      <c r="E12" s="58">
        <f>IFERROR('📈 P&amp;L INPUT'!C16/'📈 P&amp;L INPUT'!C4,0)</f>
        <v>7.4885184365781718E-2</v>
      </c>
      <c r="F12" s="58">
        <f>IFERROR('📈 P&amp;L INPUT'!D16/'📈 P&amp;L INPUT'!D4,0)</f>
        <v>8.2181548471047486E-2</v>
      </c>
      <c r="G12" s="58">
        <f>IFERROR('📈 P&amp;L INPUT'!E16/'📈 P&amp;L INPUT'!E4,0)</f>
        <v>9.7059291882556131E-2</v>
      </c>
      <c r="H12" s="58">
        <f>IFERROR('📈 P&amp;L INPUT'!F16/'📈 P&amp;L INPUT'!F4,0)</f>
        <v>0.10853177329974813</v>
      </c>
      <c r="I12" s="56" t="s">
        <v>66</v>
      </c>
      <c r="J12" s="57" t="str">
        <f t="shared" si="0"/>
        <v>✅ Improved vs prior year</v>
      </c>
    </row>
    <row r="13" spans="1:10" ht="30" customHeight="1" x14ac:dyDescent="0.25">
      <c r="A13" s="31" t="s">
        <v>204</v>
      </c>
      <c r="B13" s="53" t="s">
        <v>205</v>
      </c>
      <c r="C13" s="54" t="s">
        <v>206</v>
      </c>
      <c r="D13" s="58">
        <f>IFERROR('📈 P&amp;L INPUT'!B16/'🏛 BALANCE SHEET INPUT'!B12,0)</f>
        <v>0.12732268656716417</v>
      </c>
      <c r="E13" s="58">
        <f>IFERROR('📈 P&amp;L INPUT'!C16/'🏛 BALANCE SHEET INPUT'!C12,0)</f>
        <v>0.13676001346801347</v>
      </c>
      <c r="F13" s="58">
        <f>IFERROR('📈 P&amp;L INPUT'!D16/'🏛 BALANCE SHEET INPUT'!D12,0)</f>
        <v>0.15103795288771971</v>
      </c>
      <c r="G13" s="58">
        <f>IFERROR('📈 P&amp;L INPUT'!E16/'🏛 BALANCE SHEET INPUT'!E12,0)</f>
        <v>0.17872573942542139</v>
      </c>
      <c r="H13" s="58">
        <f>IFERROR('📈 P&amp;L INPUT'!F16/'🏛 BALANCE SHEET INPUT'!F12,0)</f>
        <v>0.20115366013071898</v>
      </c>
      <c r="I13" s="56" t="s">
        <v>66</v>
      </c>
      <c r="J13" s="57" t="str">
        <f t="shared" si="0"/>
        <v>✅ Improved vs prior year</v>
      </c>
    </row>
    <row r="14" spans="1:10" ht="30" customHeight="1" x14ac:dyDescent="0.25">
      <c r="A14" s="31" t="s">
        <v>68</v>
      </c>
      <c r="B14" s="53" t="s">
        <v>207</v>
      </c>
      <c r="C14" s="54" t="s">
        <v>208</v>
      </c>
      <c r="D14" s="58">
        <f>IFERROR('📈 P&amp;L INPUT'!B16/'🏛 BALANCE SHEET INPUT'!B17,0)</f>
        <v>0.23371561643835617</v>
      </c>
      <c r="E14" s="58">
        <f>IFERROR('📈 P&amp;L INPUT'!C16/'🏛 BALANCE SHEET INPUT'!C17,0)</f>
        <v>0.23015482774252041</v>
      </c>
      <c r="F14" s="58">
        <f>IFERROR('📈 P&amp;L INPUT'!D16/'🏛 BALANCE SHEET INPUT'!D17,0)</f>
        <v>0.2353074515648286</v>
      </c>
      <c r="G14" s="58">
        <f>IFERROR('📈 P&amp;L INPUT'!E16/'🏛 BALANCE SHEET INPUT'!E17,0)</f>
        <v>0.26146400434243172</v>
      </c>
      <c r="H14" s="58">
        <f>IFERROR('📈 P&amp;L INPUT'!F16/'🏛 BALANCE SHEET INPUT'!F17,0)</f>
        <v>0.27938732978861369</v>
      </c>
      <c r="I14" s="56" t="s">
        <v>69</v>
      </c>
      <c r="J14" s="57" t="str">
        <f t="shared" si="0"/>
        <v>✅ Improved vs prior year</v>
      </c>
    </row>
    <row r="15" spans="1:10" ht="30" customHeight="1" x14ac:dyDescent="0.25">
      <c r="A15" s="31" t="s">
        <v>209</v>
      </c>
      <c r="B15" s="53" t="s">
        <v>210</v>
      </c>
      <c r="C15" s="54" t="s">
        <v>211</v>
      </c>
      <c r="D15" s="58">
        <f>IFERROR('📈 P&amp;L INPUT'!B11/('🏛 BALANCE SHEET INPUT'!B12-'🏛 BALANCE SHEET INPUT'!B23),0)</f>
        <v>0.25842696629213485</v>
      </c>
      <c r="E15" s="58">
        <f>IFERROR('📈 P&amp;L INPUT'!C11/('🏛 BALANCE SHEET INPUT'!C12-'🏛 BALANCE SHEET INPUT'!C23),0)</f>
        <v>0.27065527065527067</v>
      </c>
      <c r="F15" s="58">
        <f>IFERROR('📈 P&amp;L INPUT'!D11/('🏛 BALANCE SHEET INPUT'!D12-'🏛 BALANCE SHEET INPUT'!D23),0)</f>
        <v>0.2837738077661302</v>
      </c>
      <c r="G15" s="58">
        <f>IFERROR('📈 P&amp;L INPUT'!E11/('🏛 BALANCE SHEET INPUT'!E12-'🏛 BALANCE SHEET INPUT'!E23),0)</f>
        <v>0.31915170439760604</v>
      </c>
      <c r="H15" s="58">
        <f>IFERROR('📈 P&amp;L INPUT'!F11/('🏛 BALANCE SHEET INPUT'!F12-'🏛 BALANCE SHEET INPUT'!F23),0)</f>
        <v>0.34645220168834134</v>
      </c>
      <c r="I15" s="56" t="s">
        <v>69</v>
      </c>
      <c r="J15" s="57" t="str">
        <f t="shared" si="0"/>
        <v>✅ Improved vs prior year</v>
      </c>
    </row>
    <row r="17" spans="1:10" ht="21.75" customHeight="1" x14ac:dyDescent="0.25">
      <c r="A17" s="1" t="s">
        <v>212</v>
      </c>
      <c r="B17" s="1"/>
      <c r="C17" s="1"/>
      <c r="D17" s="1"/>
      <c r="E17" s="1"/>
      <c r="F17" s="1"/>
      <c r="G17" s="1"/>
      <c r="H17" s="1"/>
      <c r="I17" s="1"/>
      <c r="J17" s="1"/>
    </row>
    <row r="18" spans="1:10" ht="30" customHeight="1" x14ac:dyDescent="0.25">
      <c r="A18" s="31" t="s">
        <v>213</v>
      </c>
      <c r="B18" s="53" t="s">
        <v>214</v>
      </c>
      <c r="C18" s="54" t="s">
        <v>215</v>
      </c>
      <c r="D18" s="55">
        <f>IFERROR('🏛 BALANCE SHEET INPUT'!B24/'🏛 BALANCE SHEET INPUT'!B17,0)</f>
        <v>0.49315068493150682</v>
      </c>
      <c r="E18" s="55">
        <f>IFERROR('🏛 BALANCE SHEET INPUT'!C24/'🏛 BALANCE SHEET INPUT'!C17,0)</f>
        <v>0.36944696282864914</v>
      </c>
      <c r="F18" s="55">
        <f>IFERROR('🏛 BALANCE SHEET INPUT'!D24/'🏛 BALANCE SHEET INPUT'!D17,0)</f>
        <v>0.26825633383010433</v>
      </c>
      <c r="G18" s="55">
        <f>IFERROR('🏛 BALANCE SHEET INPUT'!E24/'🏛 BALANCE SHEET INPUT'!E17,0)</f>
        <v>0.19075682382133996</v>
      </c>
      <c r="H18" s="55">
        <f>IFERROR('🏛 BALANCE SHEET INPUT'!F24/'🏛 BALANCE SHEET INPUT'!F17,0)</f>
        <v>0.12968486577616392</v>
      </c>
      <c r="I18" s="56" t="s">
        <v>74</v>
      </c>
      <c r="J18" s="57" t="str">
        <f>IF(G18=0,"Base year",IF(H18&lt;G18,"✅ Improved vs prior year",IF(H18&gt;G18,"⚠ Declined vs prior year","➖ Unchanged")))</f>
        <v>✅ Improved vs prior year</v>
      </c>
    </row>
    <row r="19" spans="1:10" ht="30" customHeight="1" x14ac:dyDescent="0.25">
      <c r="A19" s="31" t="s">
        <v>216</v>
      </c>
      <c r="B19" s="53" t="s">
        <v>217</v>
      </c>
      <c r="C19" s="54" t="s">
        <v>218</v>
      </c>
      <c r="D19" s="58">
        <f>IFERROR('🏛 BALANCE SHEET INPUT'!B24/'🏛 BALANCE SHEET INPUT'!B12,0)</f>
        <v>0.26865671641791045</v>
      </c>
      <c r="E19" s="58">
        <f>IFERROR('🏛 BALANCE SHEET INPUT'!C24/'🏛 BALANCE SHEET INPUT'!C12,0)</f>
        <v>0.21952861952861952</v>
      </c>
      <c r="F19" s="58">
        <f>IFERROR('🏛 BALANCE SHEET INPUT'!D24/'🏛 BALANCE SHEET INPUT'!D12,0)</f>
        <v>0.17218701422934354</v>
      </c>
      <c r="G19" s="58">
        <f>IFERROR('🏛 BALANCE SHEET INPUT'!E24/'🏛 BALANCE SHEET INPUT'!E12,0)</f>
        <v>0.1303933001166119</v>
      </c>
      <c r="H19" s="58">
        <f>IFERROR('🏛 BALANCE SHEET INPUT'!F24/'🏛 BALANCE SHEET INPUT'!F12,0)</f>
        <v>9.3370681605975725E-2</v>
      </c>
      <c r="I19" s="56" t="s">
        <v>219</v>
      </c>
      <c r="J19" s="57" t="str">
        <f>IF(G19=0,"Base year",IF(H19&lt;G19,"✅ Improved vs prior year",IF(H19&gt;G19,"⚠ Declined vs prior year","➖ Unchanged")))</f>
        <v>✅ Improved vs prior year</v>
      </c>
    </row>
    <row r="20" spans="1:10" ht="30" customHeight="1" x14ac:dyDescent="0.25">
      <c r="A20" s="31" t="s">
        <v>220</v>
      </c>
      <c r="B20" s="53" t="s">
        <v>221</v>
      </c>
      <c r="C20" s="54" t="s">
        <v>222</v>
      </c>
      <c r="D20" s="55">
        <f>IFERROR('📈 P&amp;L INPUT'!B11/'📈 P&amp;L INPUT'!B13,0)</f>
        <v>4.8421052631578947</v>
      </c>
      <c r="E20" s="55">
        <f>IFERROR('📈 P&amp;L INPUT'!C11/'📈 P&amp;L INPUT'!C13,0)</f>
        <v>5.209677419354839</v>
      </c>
      <c r="F20" s="55">
        <f>IFERROR('📈 P&amp;L INPUT'!D11/'📈 P&amp;L INPUT'!D13,0)</f>
        <v>6.5152542372881355</v>
      </c>
      <c r="G20" s="55">
        <f>IFERROR('📈 P&amp;L INPUT'!E11/'📈 P&amp;L INPUT'!E13,0)</f>
        <v>9.0851851851851855</v>
      </c>
      <c r="H20" s="55">
        <f>IFERROR('📈 P&amp;L INPUT'!F11/'📈 P&amp;L INPUT'!F13,0)</f>
        <v>12.654166666666667</v>
      </c>
      <c r="I20" s="56" t="s">
        <v>77</v>
      </c>
      <c r="J20" s="57" t="str">
        <f>IF(G20=0,"Base year",IF(H20&gt;G20,"✅ Improved vs prior year",IF(H20&lt;G20,"⚠ Declined vs prior year","➖ Unchanged")))</f>
        <v>✅ Improved vs prior year</v>
      </c>
    </row>
    <row r="21" spans="1:10" ht="43.5" customHeight="1" x14ac:dyDescent="0.25">
      <c r="A21" s="31" t="s">
        <v>79</v>
      </c>
      <c r="B21" s="53" t="s">
        <v>223</v>
      </c>
      <c r="C21" s="54" t="s">
        <v>224</v>
      </c>
      <c r="D21" s="55">
        <f>IFERROR(('🏛 BALANCE SHEET INPUT'!B18+'🏛 BALANCE SHEET INPUT'!B19+'🏛 BALANCE SHEET INPUT'!B23)/'🏛 BALANCE SHEET INPUT'!B17,0)</f>
        <v>0.83561643835616439</v>
      </c>
      <c r="E21" s="55">
        <f>IFERROR(('🏛 BALANCE SHEET INPUT'!C18+'🏛 BALANCE SHEET INPUT'!C19+'🏛 BALANCE SHEET INPUT'!C23)/'🏛 BALANCE SHEET INPUT'!C17,0)</f>
        <v>0.68291024478694473</v>
      </c>
      <c r="F21" s="55">
        <f>IFERROR(('🏛 BALANCE SHEET INPUT'!D18+'🏛 BALANCE SHEET INPUT'!D19+'🏛 BALANCE SHEET INPUT'!D23)/'🏛 BALANCE SHEET INPUT'!D17,0)</f>
        <v>0.55793591654247388</v>
      </c>
      <c r="G21" s="55">
        <f>IFERROR(('🏛 BALANCE SHEET INPUT'!E18+'🏛 BALANCE SHEET INPUT'!E19+'🏛 BALANCE SHEET INPUT'!E23)/'🏛 BALANCE SHEET INPUT'!E17,0)</f>
        <v>0.46293424317617865</v>
      </c>
      <c r="H21" s="55">
        <f>IFERROR(('🏛 BALANCE SHEET INPUT'!F18+'🏛 BALANCE SHEET INPUT'!F19+'🏛 BALANCE SHEET INPUT'!F23)/'🏛 BALANCE SHEET INPUT'!F17,0)</f>
        <v>0.3889249124627156</v>
      </c>
      <c r="I21" s="56" t="s">
        <v>80</v>
      </c>
      <c r="J21" s="57" t="str">
        <f>IF(G21=0,"Base year",IF(H21&lt;G21,"✅ Improved vs prior year",IF(H21&gt;G21,"⚠ Declined vs prior year","➖ Unchanged")))</f>
        <v>✅ Improved vs prior year</v>
      </c>
    </row>
    <row r="23" spans="1:10" ht="21.75" customHeight="1" x14ac:dyDescent="0.25">
      <c r="A23" s="13" t="s">
        <v>225</v>
      </c>
      <c r="B23" s="13"/>
      <c r="C23" s="13"/>
      <c r="D23" s="13"/>
      <c r="E23" s="13"/>
      <c r="F23" s="13"/>
      <c r="G23" s="13"/>
      <c r="H23" s="13"/>
      <c r="I23" s="13"/>
      <c r="J23" s="13"/>
    </row>
    <row r="24" spans="1:10" ht="30" customHeight="1" x14ac:dyDescent="0.25">
      <c r="A24" s="31" t="s">
        <v>226</v>
      </c>
      <c r="B24" s="53" t="s">
        <v>227</v>
      </c>
      <c r="C24" s="54" t="s">
        <v>228</v>
      </c>
      <c r="D24" s="55">
        <f>IFERROR('📈 P&amp;L INPUT'!B5/'🏛 BALANCE SHEET INPUT'!B9,0)</f>
        <v>6</v>
      </c>
      <c r="E24" s="55">
        <f>IFERROR('📈 P&amp;L INPUT'!C5/'🏛 BALANCE SHEET INPUT'!C9,0)</f>
        <v>5.9385185185185181</v>
      </c>
      <c r="F24" s="55">
        <f>IFERROR('📈 P&amp;L INPUT'!D5/'🏛 BALANCE SHEET INPUT'!D9,0)</f>
        <v>5.8503225806451615</v>
      </c>
      <c r="G24" s="55">
        <f>IFERROR('📈 P&amp;L INPUT'!E5/'🏛 BALANCE SHEET INPUT'!E9,0)</f>
        <v>5.6219101123595507</v>
      </c>
      <c r="H24" s="55">
        <f>IFERROR('📈 P&amp;L INPUT'!F5/'🏛 BALANCE SHEET INPUT'!F9,0)</f>
        <v>5.5185365853658537</v>
      </c>
      <c r="I24" s="56" t="s">
        <v>229</v>
      </c>
      <c r="J24" s="57" t="str">
        <f>IF(G24=0,"Base year",IF(H24&gt;G24,"✅ Improved vs prior year",IF(H24&lt;G24,"⚠ Declined vs prior year","➖ Unchanged")))</f>
        <v>⚠ Declined vs prior year</v>
      </c>
    </row>
    <row r="25" spans="1:10" ht="30" customHeight="1" x14ac:dyDescent="0.25">
      <c r="A25" s="31" t="s">
        <v>88</v>
      </c>
      <c r="B25" s="53" t="s">
        <v>230</v>
      </c>
      <c r="C25" s="54" t="s">
        <v>231</v>
      </c>
      <c r="D25" s="59">
        <f>IFERROR(365/('📈 P&amp;L INPUT'!B5/'🏛 BALANCE SHEET INPUT'!B9),0)</f>
        <v>60.833333333333336</v>
      </c>
      <c r="E25" s="59">
        <f>IFERROR(365/('📈 P&amp;L INPUT'!C5/'🏛 BALANCE SHEET INPUT'!C9),0)</f>
        <v>61.463140825745299</v>
      </c>
      <c r="F25" s="59">
        <f>IFERROR(365/('📈 P&amp;L INPUT'!D5/'🏛 BALANCE SHEET INPUT'!D9),0)</f>
        <v>62.38972209969122</v>
      </c>
      <c r="G25" s="59">
        <f>IFERROR(365/('📈 P&amp;L INPUT'!E5/'🏛 BALANCE SHEET INPUT'!E9),0)</f>
        <v>64.924552813030871</v>
      </c>
      <c r="H25" s="59">
        <f>IFERROR(365/('📈 P&amp;L INPUT'!F5/'🏛 BALANCE SHEET INPUT'!F9),0)</f>
        <v>66.14072306196411</v>
      </c>
      <c r="I25" s="56" t="s">
        <v>86</v>
      </c>
      <c r="J25" s="57" t="str">
        <f>IF(G25=0,"Base year",IF(H25&lt;G25,"✅ Improved vs prior year",IF(H25&gt;G25,"⚠ Declined vs prior year","➖ Unchanged")))</f>
        <v>⚠ Declined vs prior year</v>
      </c>
    </row>
    <row r="26" spans="1:10" ht="30" customHeight="1" x14ac:dyDescent="0.25">
      <c r="A26" s="31" t="s">
        <v>232</v>
      </c>
      <c r="B26" s="53" t="s">
        <v>233</v>
      </c>
      <c r="C26" s="54" t="s">
        <v>234</v>
      </c>
      <c r="D26" s="55">
        <f>IFERROR('📈 P&amp;L INPUT'!B4/'🏛 BALANCE SHEET INPUT'!B8,0)</f>
        <v>8.1081081081081088</v>
      </c>
      <c r="E26" s="55">
        <f>IFERROR('📈 P&amp;L INPUT'!C4/'🏛 BALANCE SHEET INPUT'!C8,0)</f>
        <v>8.1197604790419167</v>
      </c>
      <c r="F26" s="55">
        <f>IFERROR('📈 P&amp;L INPUT'!D4/'🏛 BALANCE SHEET INPUT'!D8,0)</f>
        <v>8.1193872160591649</v>
      </c>
      <c r="G26" s="55">
        <f>IFERROR('📈 P&amp;L INPUT'!E4/'🏛 BALANCE SHEET INPUT'!E8,0)</f>
        <v>8.1168224299065415</v>
      </c>
      <c r="H26" s="55">
        <f>IFERROR('📈 P&amp;L INPUT'!F4/'🏛 BALANCE SHEET INPUT'!F8,0)</f>
        <v>8.1186094069529648</v>
      </c>
      <c r="I26" s="56" t="s">
        <v>229</v>
      </c>
      <c r="J26" s="57" t="str">
        <f>IF(G26=0,"Base year",IF(H26&gt;G26,"✅ Improved vs prior year",IF(H26&lt;G26,"⚠ Declined vs prior year","➖ Unchanged")))</f>
        <v>✅ Improved vs prior year</v>
      </c>
    </row>
    <row r="27" spans="1:10" ht="30" customHeight="1" x14ac:dyDescent="0.25">
      <c r="A27" s="31" t="s">
        <v>82</v>
      </c>
      <c r="B27" s="53" t="s">
        <v>235</v>
      </c>
      <c r="C27" s="54" t="s">
        <v>236</v>
      </c>
      <c r="D27" s="59">
        <f>IFERROR(365/('📈 P&amp;L INPUT'!B4/'🏛 BALANCE SHEET INPUT'!B8),0)</f>
        <v>45.016666666666666</v>
      </c>
      <c r="E27" s="59">
        <f>IFERROR(365/('📈 P&amp;L INPUT'!C4/'🏛 BALANCE SHEET INPUT'!C8),0)</f>
        <v>44.952064896755161</v>
      </c>
      <c r="F27" s="59">
        <f>IFERROR(365/('📈 P&amp;L INPUT'!D4/'🏛 BALANCE SHEET INPUT'!D8),0)</f>
        <v>44.954131424853614</v>
      </c>
      <c r="G27" s="59">
        <f>IFERROR(365/('📈 P&amp;L INPUT'!E4/'🏛 BALANCE SHEET INPUT'!E8),0)</f>
        <v>44.96833621185953</v>
      </c>
      <c r="H27" s="59">
        <f>IFERROR(365/('📈 P&amp;L INPUT'!F4/'🏛 BALANCE SHEET INPUT'!F8),0)</f>
        <v>44.958438287153655</v>
      </c>
      <c r="I27" s="56" t="s">
        <v>83</v>
      </c>
      <c r="J27" s="57" t="str">
        <f>IF(G27=0,"Base year",IF(H27&lt;G27,"✅ Improved vs prior year",IF(H27&gt;G27,"⚠ Declined vs prior year","➖ Unchanged")))</f>
        <v>✅ Improved vs prior year</v>
      </c>
    </row>
    <row r="28" spans="1:10" ht="30" customHeight="1" x14ac:dyDescent="0.25">
      <c r="A28" s="31" t="s">
        <v>237</v>
      </c>
      <c r="B28" s="53" t="s">
        <v>238</v>
      </c>
      <c r="C28" s="54" t="s">
        <v>239</v>
      </c>
      <c r="D28" s="55">
        <f>IFERROR('📈 P&amp;L INPUT'!B5/'🏛 BALANCE SHEET INPUT'!B20,0)</f>
        <v>7.2244897959183669</v>
      </c>
      <c r="E28" s="55">
        <f>IFERROR('📈 P&amp;L INPUT'!C5/'🏛 BALANCE SHEET INPUT'!C20,0)</f>
        <v>7.4231481481481483</v>
      </c>
      <c r="F28" s="55">
        <f>IFERROR('📈 P&amp;L INPUT'!D5/'🏛 BALANCE SHEET INPUT'!D20,0)</f>
        <v>7.494214876033058</v>
      </c>
      <c r="G28" s="55">
        <f>IFERROR('📈 P&amp;L INPUT'!E5/'🏛 BALANCE SHEET INPUT'!E20,0)</f>
        <v>7.3580882352941179</v>
      </c>
      <c r="H28" s="55">
        <f>IFERROR('📈 P&amp;L INPUT'!F5/'🏛 BALANCE SHEET INPUT'!F20,0)</f>
        <v>7.3461038961038962</v>
      </c>
      <c r="I28" s="56" t="s">
        <v>229</v>
      </c>
      <c r="J28" s="57" t="str">
        <f>IF(G28=0,"Base year",IF(H28&gt;G28,"✅ Improved vs prior year",IF(H28&lt;G28,"⚠ Declined vs prior year","➖ Unchanged")))</f>
        <v>⚠ Declined vs prior year</v>
      </c>
    </row>
    <row r="29" spans="1:10" ht="30" customHeight="1" x14ac:dyDescent="0.25">
      <c r="A29" s="31" t="s">
        <v>85</v>
      </c>
      <c r="B29" s="53" t="s">
        <v>240</v>
      </c>
      <c r="C29" s="54" t="s">
        <v>241</v>
      </c>
      <c r="D29" s="59">
        <f>IFERROR(365/('📈 P&amp;L INPUT'!B5/'🏛 BALANCE SHEET INPUT'!B20),0)</f>
        <v>50.522598870056498</v>
      </c>
      <c r="E29" s="59">
        <f>IFERROR(365/('📈 P&amp;L INPUT'!C5/'🏛 BALANCE SHEET INPUT'!C20),0)</f>
        <v>49.170512660596231</v>
      </c>
      <c r="F29" s="59">
        <f>IFERROR(365/('📈 P&amp;L INPUT'!D5/'🏛 BALANCE SHEET INPUT'!D20),0)</f>
        <v>48.704234671371857</v>
      </c>
      <c r="G29" s="59">
        <f>IFERROR(365/('📈 P&amp;L INPUT'!E5/'🏛 BALANCE SHEET INPUT'!E20),0)</f>
        <v>49.605276306585388</v>
      </c>
      <c r="H29" s="59">
        <f>IFERROR(365/('📈 P&amp;L INPUT'!F5/'🏛 BALANCE SHEET INPUT'!F20),0)</f>
        <v>49.686201714841332</v>
      </c>
      <c r="I29" s="56" t="s">
        <v>86</v>
      </c>
      <c r="J29" s="57" t="str">
        <f>IF(G29=0,"Base year",IF(H29&gt;G29,"✅ Improved vs prior year",IF(H29&lt;G29,"⚠ Declined vs prior year","➖ Unchanged")))</f>
        <v>✅ Improved vs prior year</v>
      </c>
    </row>
    <row r="30" spans="1:10" ht="30" customHeight="1" x14ac:dyDescent="0.25">
      <c r="A30" s="31" t="s">
        <v>242</v>
      </c>
      <c r="B30" s="53" t="s">
        <v>243</v>
      </c>
      <c r="C30" s="54" t="s">
        <v>244</v>
      </c>
      <c r="D30" s="59">
        <f>(365/('📈 P&amp;L INPUT'!B5/'🏛 BALANCE SHEET INPUT'!B9))+(365/('📈 P&amp;L INPUT'!B4/'🏛 BALANCE SHEET INPUT'!B8))-(365/('📈 P&amp;L INPUT'!B5/'🏛 BALANCE SHEET INPUT'!B20))</f>
        <v>55.327401129943496</v>
      </c>
      <c r="E30" s="59">
        <f>(365/('📈 P&amp;L INPUT'!C5/'🏛 BALANCE SHEET INPUT'!C9))+(365/('📈 P&amp;L INPUT'!C4/'🏛 BALANCE SHEET INPUT'!C8))-(365/('📈 P&amp;L INPUT'!C5/'🏛 BALANCE SHEET INPUT'!C20))</f>
        <v>57.244693061904229</v>
      </c>
      <c r="F30" s="59">
        <f>(365/('📈 P&amp;L INPUT'!D5/'🏛 BALANCE SHEET INPUT'!D9))+(365/('📈 P&amp;L INPUT'!D4/'🏛 BALANCE SHEET INPUT'!D8))-(365/('📈 P&amp;L INPUT'!D5/'🏛 BALANCE SHEET INPUT'!D20))</f>
        <v>58.639618853172983</v>
      </c>
      <c r="G30" s="59">
        <f>(365/('📈 P&amp;L INPUT'!E5/'🏛 BALANCE SHEET INPUT'!E9))+(365/('📈 P&amp;L INPUT'!E4/'🏛 BALANCE SHEET INPUT'!E8))-(365/('📈 P&amp;L INPUT'!E5/'🏛 BALANCE SHEET INPUT'!E20))</f>
        <v>60.287612718305006</v>
      </c>
      <c r="H30" s="59">
        <f>(365/('📈 P&amp;L INPUT'!F5/'🏛 BALANCE SHEET INPUT'!F9))+(365/('📈 P&amp;L INPUT'!F4/'🏛 BALANCE SHEET INPUT'!F8))-(365/('📈 P&amp;L INPUT'!F5/'🏛 BALANCE SHEET INPUT'!F20))</f>
        <v>61.412959634276433</v>
      </c>
      <c r="I30" s="56" t="s">
        <v>91</v>
      </c>
      <c r="J30" s="57" t="str">
        <f>IF(G30=0,"Base year",IF(H30&lt;G30,"✅ Improved vs prior year",IF(H30&gt;G30,"⚠ Declined vs prior year","➖ Unchanged")))</f>
        <v>⚠ Declined vs prior year</v>
      </c>
    </row>
    <row r="31" spans="1:10" ht="30" customHeight="1" x14ac:dyDescent="0.25">
      <c r="A31" s="31" t="s">
        <v>245</v>
      </c>
      <c r="B31" s="53" t="s">
        <v>246</v>
      </c>
      <c r="C31" s="54" t="s">
        <v>247</v>
      </c>
      <c r="D31" s="55">
        <f>IFERROR('📈 P&amp;L INPUT'!B4/'🏛 BALANCE SHEET INPUT'!B5,0)</f>
        <v>3.75</v>
      </c>
      <c r="E31" s="55">
        <f>IFERROR('📈 P&amp;L INPUT'!C4/'🏛 BALANCE SHEET INPUT'!C5,0)</f>
        <v>4.0477611940298504</v>
      </c>
      <c r="F31" s="55">
        <f>IFERROR('📈 P&amp;L INPUT'!D4/'🏛 BALANCE SHEET INPUT'!D5,0)</f>
        <v>4.2694444444444448</v>
      </c>
      <c r="G31" s="55">
        <f>IFERROR('📈 P&amp;L INPUT'!E4/'🏛 BALANCE SHEET INPUT'!E5,0)</f>
        <v>4.511688311688312</v>
      </c>
      <c r="H31" s="55">
        <f>IFERROR('📈 P&amp;L INPUT'!F4/'🏛 BALANCE SHEET INPUT'!F5,0)</f>
        <v>4.8414634146341466</v>
      </c>
      <c r="I31" s="56" t="s">
        <v>229</v>
      </c>
      <c r="J31" s="57" t="str">
        <f>IF(G31=0,"Base year",IF(H31&gt;G31,"✅ Improved vs prior year",IF(H31&lt;G31,"⚠ Declined vs prior year","➖ Unchanged")))</f>
        <v>✅ Improved vs prior year</v>
      </c>
    </row>
    <row r="32" spans="1:10" ht="30" customHeight="1" x14ac:dyDescent="0.25">
      <c r="A32" s="31" t="s">
        <v>248</v>
      </c>
      <c r="B32" s="53" t="s">
        <v>249</v>
      </c>
      <c r="C32" s="54" t="s">
        <v>250</v>
      </c>
      <c r="D32" s="55">
        <f>IFERROR('📈 P&amp;L INPUT'!B4/'🏛 BALANCE SHEET INPUT'!B12,0)</f>
        <v>1.791044776119403</v>
      </c>
      <c r="E32" s="55">
        <f>IFERROR('📈 P&amp;L INPUT'!C4/'🏛 BALANCE SHEET INPUT'!C12,0)</f>
        <v>1.8262626262626263</v>
      </c>
      <c r="F32" s="55">
        <f>IFERROR('📈 P&amp;L INPUT'!D4/'🏛 BALANCE SHEET INPUT'!D12,0)</f>
        <v>1.8378572282673682</v>
      </c>
      <c r="G32" s="55">
        <f>IFERROR('📈 P&amp;L INPUT'!E4/'🏛 BALANCE SHEET INPUT'!E12,0)</f>
        <v>1.8414078235980069</v>
      </c>
      <c r="H32" s="55">
        <f>IFERROR('📈 P&amp;L INPUT'!F4/'🏛 BALANCE SHEET INPUT'!F12,0)</f>
        <v>1.8534080298786182</v>
      </c>
      <c r="I32" s="56" t="s">
        <v>229</v>
      </c>
      <c r="J32" s="57" t="str">
        <f>IF(G32=0,"Base year",IF(H32&gt;G32,"✅ Improved vs prior year",IF(H32&lt;G32,"⚠ Declined vs prior year","➖ Unchanged")))</f>
        <v>✅ Improved vs prior year</v>
      </c>
    </row>
    <row r="34" spans="1:10" ht="21.75" customHeight="1" x14ac:dyDescent="0.25">
      <c r="A34" s="4" t="s">
        <v>251</v>
      </c>
      <c r="B34" s="4"/>
      <c r="C34" s="4"/>
      <c r="D34" s="4"/>
      <c r="E34" s="4"/>
      <c r="F34" s="4"/>
      <c r="G34" s="4"/>
      <c r="H34" s="4"/>
      <c r="I34" s="4"/>
      <c r="J34" s="4"/>
    </row>
    <row r="35" spans="1:10" ht="30" customHeight="1" x14ac:dyDescent="0.25">
      <c r="A35" s="31" t="s">
        <v>252</v>
      </c>
      <c r="B35" s="53" t="s">
        <v>253</v>
      </c>
      <c r="C35" s="54" t="s">
        <v>254</v>
      </c>
      <c r="D35" s="55">
        <f>IFERROR('💵 CASH FLOW INPUT'!B5/'🏛 BALANCE SHEET INPUT'!B23,0)</f>
        <v>0.7720588235294118</v>
      </c>
      <c r="E35" s="55">
        <f>IFERROR('💵 CASH FLOW INPUT'!C5/'🏛 BALANCE SHEET INPUT'!C23,0)</f>
        <v>0.85048010973936905</v>
      </c>
      <c r="F35" s="55">
        <f>IFERROR('💵 CASH FLOW INPUT'!D5/'🏛 BALANCE SHEET INPUT'!D23,0)</f>
        <v>0.9308176100628931</v>
      </c>
      <c r="G35" s="55">
        <f>IFERROR('💵 CASH FLOW INPUT'!E5/'🏛 BALANCE SHEET INPUT'!E23,0)</f>
        <v>1.0589582140812821</v>
      </c>
      <c r="H35" s="55">
        <f>IFERROR('💵 CASH FLOW INPUT'!F5/'🏛 BALANCE SHEET INPUT'!F23,0)</f>
        <v>1.1728395061728396</v>
      </c>
      <c r="I35" s="56" t="s">
        <v>255</v>
      </c>
      <c r="J35" s="57" t="str">
        <f>IF(G35=0,"Base year",IF(H35&gt;G35,"✅ Improved vs prior year",IF(H35&lt;G35,"⚠ Declined vs prior year","➖ Unchanged")))</f>
        <v>✅ Improved vs prior year</v>
      </c>
    </row>
    <row r="36" spans="1:10" ht="30" customHeight="1" x14ac:dyDescent="0.25">
      <c r="A36" s="31" t="s">
        <v>256</v>
      </c>
      <c r="B36" s="53" t="s">
        <v>257</v>
      </c>
      <c r="C36" s="54" t="s">
        <v>258</v>
      </c>
      <c r="D36" s="55">
        <f>IFERROR('💵 CASH FLOW INPUT'!B5/'🏛 BALANCE SHEET INPUT'!B24,0)</f>
        <v>0.58333333333333337</v>
      </c>
      <c r="E36" s="55">
        <f>IFERROR('💵 CASH FLOW INPUT'!C5/'🏛 BALANCE SHEET INPUT'!C24,0)</f>
        <v>0.76073619631901845</v>
      </c>
      <c r="F36" s="55">
        <f>IFERROR('💵 CASH FLOW INPUT'!D5/'🏛 BALANCE SHEET INPUT'!D24,0)</f>
        <v>1.0277777777777777</v>
      </c>
      <c r="G36" s="55">
        <f>IFERROR('💵 CASH FLOW INPUT'!E5/'🏛 BALANCE SHEET INPUT'!E24,0)</f>
        <v>1.5040650406504066</v>
      </c>
      <c r="H36" s="55">
        <f>IFERROR('💵 CASH FLOW INPUT'!F5/'🏛 BALANCE SHEET INPUT'!F24,0)</f>
        <v>2.2799999999999998</v>
      </c>
      <c r="I36" s="56" t="s">
        <v>259</v>
      </c>
      <c r="J36" s="57" t="str">
        <f>IF(G36=0,"Base year",IF(H36&gt;G36,"✅ Improved vs prior year",IF(H36&lt;G36,"⚠ Declined vs prior year","➖ Unchanged")))</f>
        <v>✅ Improved vs prior year</v>
      </c>
    </row>
    <row r="37" spans="1:10" ht="30" customHeight="1" x14ac:dyDescent="0.25">
      <c r="A37" s="31" t="s">
        <v>260</v>
      </c>
      <c r="B37" s="53" t="s">
        <v>261</v>
      </c>
      <c r="C37" s="54" t="s">
        <v>262</v>
      </c>
      <c r="D37" s="60">
        <f>'💵 CASH FLOW INPUT'!B5+'💵 CASH FLOW INPUT'!B8</f>
        <v>670000</v>
      </c>
      <c r="E37" s="60">
        <f>'💵 CASH FLOW INPUT'!C5+'💵 CASH FLOW INPUT'!C8</f>
        <v>820000</v>
      </c>
      <c r="F37" s="60">
        <f>'💵 CASH FLOW INPUT'!D5+'💵 CASH FLOW INPUT'!D8</f>
        <v>1000000</v>
      </c>
      <c r="G37" s="60">
        <f>'💵 CASH FLOW INPUT'!E5+'💵 CASH FLOW INPUT'!E8</f>
        <v>1320000</v>
      </c>
      <c r="H37" s="60">
        <f>'💵 CASH FLOW INPUT'!F5+'💵 CASH FLOW INPUT'!F8</f>
        <v>1700000</v>
      </c>
      <c r="I37" s="56" t="s">
        <v>263</v>
      </c>
      <c r="J37" s="57" t="str">
        <f>IF(G37=0,"Base year",IF(H37&gt;G37,"✅ Improved vs prior year",IF(H37&lt;G37,"⚠ Declined vs prior year","➖ Unchanged")))</f>
        <v>✅ Improved vs prior year</v>
      </c>
    </row>
    <row r="39" spans="1:10" ht="21.75" customHeight="1" x14ac:dyDescent="0.25">
      <c r="A39" s="1" t="s">
        <v>264</v>
      </c>
      <c r="B39" s="1"/>
      <c r="C39" s="1"/>
      <c r="D39" s="1"/>
      <c r="E39" s="1"/>
      <c r="F39" s="1"/>
      <c r="G39" s="1"/>
      <c r="H39" s="1"/>
      <c r="I39" s="1"/>
      <c r="J39" s="1"/>
    </row>
    <row r="40" spans="1:10" ht="30" customHeight="1" x14ac:dyDescent="0.25">
      <c r="A40" s="31" t="s">
        <v>93</v>
      </c>
      <c r="B40" s="53" t="s">
        <v>265</v>
      </c>
      <c r="C40" s="54" t="s">
        <v>266</v>
      </c>
      <c r="D40" s="55">
        <f>IFERROR(('🏛 BALANCE SHEET INPUT'!B24-'🏛 BALANCE SHEET INPUT'!B7)/'📈 P&amp;L INPUT'!B8,0)</f>
        <v>0.71666666666666667</v>
      </c>
      <c r="E40" s="55">
        <f>IFERROR(('🏛 BALANCE SHEET INPUT'!C24-'🏛 BALANCE SHEET INPUT'!C7)/'📈 P&amp;L INPUT'!C8,0)</f>
        <v>0.45985401459854014</v>
      </c>
      <c r="F40" s="55">
        <f>IFERROR(('🏛 BALANCE SHEET INPUT'!D24-'🏛 BALANCE SHEET INPUT'!D7)/'📈 P&amp;L INPUT'!D8,0)</f>
        <v>0.22460117548278757</v>
      </c>
      <c r="G40" s="55">
        <f>IFERROR(('🏛 BALANCE SHEET INPUT'!E24-'🏛 BALANCE SHEET INPUT'!E7)/'📈 P&amp;L INPUT'!E8,0)</f>
        <v>1.0910330719399931E-2</v>
      </c>
      <c r="H40" s="55">
        <f>IFERROR(('🏛 BALANCE SHEET INPUT'!F24-'🏛 BALANCE SHEET INPUT'!F7)/'📈 P&amp;L INPUT'!F8,0)</f>
        <v>-0.1682216567712751</v>
      </c>
      <c r="I40" s="56" t="s">
        <v>80</v>
      </c>
      <c r="J40" s="57" t="str">
        <f>IF(G40=0,"Base year",IF(H40&lt;G40,"✅ Improved vs prior year",IF(H40&gt;G40,"⚠ Declined vs prior year","➖ Unchanged")))</f>
        <v>✅ Improved vs prior year</v>
      </c>
    </row>
    <row r="41" spans="1:10" ht="30" customHeight="1" x14ac:dyDescent="0.25">
      <c r="A41" s="31" t="s">
        <v>95</v>
      </c>
      <c r="B41" s="53" t="s">
        <v>267</v>
      </c>
      <c r="C41" s="54" t="s">
        <v>268</v>
      </c>
      <c r="D41" s="55">
        <f>IFERROR('🏛 BALANCE SHEET INPUT'!B24/'📈 P&amp;L INPUT'!B8,0)</f>
        <v>1</v>
      </c>
      <c r="E41" s="55">
        <f>IFERROR('🏛 BALANCE SHEET INPUT'!C24/'📈 P&amp;L INPUT'!C8,0)</f>
        <v>0.79318734793187351</v>
      </c>
      <c r="F41" s="55">
        <f>IFERROR('🏛 BALANCE SHEET INPUT'!D24/'📈 P&amp;L INPUT'!D8,0)</f>
        <v>0.60453400503778343</v>
      </c>
      <c r="G41" s="55">
        <f>IFERROR('🏛 BALANCE SHEET INPUT'!E24/'📈 P&amp;L INPUT'!E8,0)</f>
        <v>0.41936583702693486</v>
      </c>
      <c r="H41" s="55">
        <f>IFERROR('🏛 BALANCE SHEET INPUT'!F24/'📈 P&amp;L INPUT'!F8,0)</f>
        <v>0.28272547356516819</v>
      </c>
      <c r="I41" s="56" t="s">
        <v>269</v>
      </c>
      <c r="J41" s="57" t="str">
        <f>IF(G41=0,"Base year",IF(H41&lt;G41,"✅ Improved vs prior year",IF(H41&gt;G41,"⚠ Declined vs prior year","➖ Unchanged")))</f>
        <v>✅ Improved vs prior year</v>
      </c>
    </row>
    <row r="42" spans="1:10" ht="37.5" customHeight="1" x14ac:dyDescent="0.25">
      <c r="A42" s="31" t="s">
        <v>270</v>
      </c>
      <c r="B42" s="53" t="s">
        <v>271</v>
      </c>
      <c r="C42" s="54" t="s">
        <v>272</v>
      </c>
      <c r="D42" s="55">
        <f>IFERROR(('📈 P&amp;L INPUT'!B16+'📈 P&amp;L INPUT'!B10+'📈 P&amp;L INPUT'!B13)/(ABS('💵 CASH FLOW INPUT'!B15)+ABS('💵 CASH FLOW INPUT'!B14)),0)</f>
        <v>3.6234000000000002</v>
      </c>
      <c r="E42" s="55">
        <f>IFERROR(('📈 P&amp;L INPUT'!C16+'📈 P&amp;L INPUT'!C10+'📈 P&amp;L INPUT'!C13)/(ABS('💵 CASH FLOW INPUT'!C15)+ABS('💵 CASH FLOW INPUT'!C14)),0)</f>
        <v>3.8800947252747253</v>
      </c>
      <c r="F42" s="55">
        <f>IFERROR(('📈 P&amp;L INPUT'!D16+'📈 P&amp;L INPUT'!D10+'📈 P&amp;L INPUT'!D13)/(ABS('💵 CASH FLOW INPUT'!D15)+ABS('💵 CASH FLOW INPUT'!D14)),0)</f>
        <v>4.3682476190476187</v>
      </c>
      <c r="G42" s="55">
        <f>IFERROR(('📈 P&amp;L INPUT'!E16+'📈 P&amp;L INPUT'!E10+'📈 P&amp;L INPUT'!E13)/(ABS('💵 CASH FLOW INPUT'!E15)+ABS('💵 CASH FLOW INPUT'!E14)),0)</f>
        <v>5.3186024017467251</v>
      </c>
      <c r="H42" s="55">
        <f>IFERROR(('📈 P&amp;L INPUT'!F16+'📈 P&amp;L INPUT'!F10+'📈 P&amp;L INPUT'!F13)/(ABS('💵 CASH FLOW INPUT'!F15)+ABS('💵 CASH FLOW INPUT'!F14)),0)</f>
        <v>6.4606154017857147</v>
      </c>
      <c r="I42" s="56" t="s">
        <v>97</v>
      </c>
      <c r="J42" s="57" t="str">
        <f>IF(G42=0,"Base year",IF(H42&gt;G42,"✅ Improved vs prior year",IF(H42&lt;G42,"⚠ Declined vs prior year","➖ Unchanged")))</f>
        <v>✅ Improved vs prior year</v>
      </c>
    </row>
    <row r="43" spans="1:10" ht="30" customHeight="1" x14ac:dyDescent="0.25">
      <c r="A43" s="31" t="s">
        <v>99</v>
      </c>
      <c r="B43" s="53" t="s">
        <v>273</v>
      </c>
      <c r="C43" s="54" t="s">
        <v>274</v>
      </c>
      <c r="D43" s="55">
        <f>IFERROR('🏛 BALANCE SHEET INPUT'!B5/'🏛 BALANCE SHEET INPUT'!B18,0)</f>
        <v>2</v>
      </c>
      <c r="E43" s="55">
        <f>IFERROR('🏛 BALANCE SHEET INPUT'!C5/'🏛 BALANCE SHEET INPUT'!C18,0)</f>
        <v>2.3103448275862069</v>
      </c>
      <c r="F43" s="55">
        <f>IFERROR('🏛 BALANCE SHEET INPUT'!D5/'🏛 BALANCE SHEET INPUT'!D18,0)</f>
        <v>2.8125</v>
      </c>
      <c r="G43" s="55">
        <f>IFERROR('🏛 BALANCE SHEET INPUT'!E5/'🏛 BALANCE SHEET INPUT'!E18,0)</f>
        <v>3.5321100917431192</v>
      </c>
      <c r="H43" s="55">
        <f>IFERROR('🏛 BALANCE SHEET INPUT'!F5/'🏛 BALANCE SHEET INPUT'!F18,0)</f>
        <v>4.6590909090909092</v>
      </c>
      <c r="I43" s="56" t="s">
        <v>100</v>
      </c>
      <c r="J43" s="57" t="str">
        <f>IF(G43=0,"Base year",IF(H43&gt;G43,"✅ Improved vs prior year",IF(H43&lt;G43,"⚠ Declined vs prior year","➖ Unchanged")))</f>
        <v>✅ Improved vs prior year</v>
      </c>
    </row>
    <row r="44" spans="1:10" ht="30" customHeight="1" x14ac:dyDescent="0.25">
      <c r="A44" s="31" t="s">
        <v>102</v>
      </c>
      <c r="B44" s="53" t="s">
        <v>275</v>
      </c>
      <c r="C44" s="54" t="s">
        <v>276</v>
      </c>
      <c r="D44" s="58">
        <f>IFERROR('🏛 BALANCE SHEET INPUT'!B17/'🏛 BALANCE SHEET INPUT'!B12,0)</f>
        <v>0.54477611940298509</v>
      </c>
      <c r="E44" s="58">
        <f>IFERROR('🏛 BALANCE SHEET INPUT'!C17/'🏛 BALANCE SHEET INPUT'!C12,0)</f>
        <v>0.59420875420875419</v>
      </c>
      <c r="F44" s="58">
        <f>IFERROR('🏛 BALANCE SHEET INPUT'!D17/'🏛 BALANCE SHEET INPUT'!D12,0)</f>
        <v>0.64187492526605283</v>
      </c>
      <c r="G44" s="58">
        <f>IFERROR('🏛 BALANCE SHEET INPUT'!E17/'🏛 BALANCE SHEET INPUT'!E12,0)</f>
        <v>0.68355772288773453</v>
      </c>
      <c r="H44" s="58">
        <f>IFERROR('🏛 BALANCE SHEET INPUT'!F17/'🏛 BALANCE SHEET INPUT'!F12,0)</f>
        <v>0.7199813258636788</v>
      </c>
      <c r="I44" s="56" t="s">
        <v>103</v>
      </c>
      <c r="J44" s="57" t="str">
        <f>IF(G44=0,"Base year",IF(H44&gt;G44,"✅ Improved vs prior year",IF(H44&lt;G44,"⚠ Declined vs prior year","➖ Unchanged")))</f>
        <v>✅ Improved vs prior year</v>
      </c>
    </row>
  </sheetData>
  <sheetProtection algorithmName="SHA-512" hashValue="YHoMrAedzKrJbN8qSt/lhLMp1x0F36L5MKWETlpueRUYm393aussihcydHXoR5H0E2U/NEcH1kLH+Nus+ovtOg==" saltValue="LhCgqwqGXzc6nYm2P1GxlQ==" spinCount="100000" sheet="1" objects="1" scenarios="1"/>
  <mergeCells count="8">
    <mergeCell ref="A23:J23"/>
    <mergeCell ref="A34:J34"/>
    <mergeCell ref="A39:J39"/>
    <mergeCell ref="A1:J1"/>
    <mergeCell ref="A2:J2"/>
    <mergeCell ref="A4:J4"/>
    <mergeCell ref="A9:J9"/>
    <mergeCell ref="A17:J17"/>
  </mergeCells>
  <pageMargins left="0.75" right="0.75" top="1" bottom="1" header="0.511811023622047" footer="0.511811023622047"/>
  <pageSetup paperSize="9" orientation="landscape"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D4AC0D"/>
  </sheetPr>
  <dimension ref="A1:G25"/>
  <sheetViews>
    <sheetView zoomScaleNormal="100" workbookViewId="0">
      <pane xSplit="1" ySplit="3" topLeftCell="B4" activePane="bottomRight" state="frozen"/>
      <selection pane="topRight" activeCell="B1" sqref="B1"/>
      <selection pane="bottomLeft" activeCell="A4" sqref="A4"/>
      <selection pane="bottomRight" sqref="A1:XFD1048576"/>
    </sheetView>
  </sheetViews>
  <sheetFormatPr defaultColWidth="8.7109375" defaultRowHeight="15" x14ac:dyDescent="0.25"/>
  <cols>
    <col min="1" max="1" width="36" style="15" customWidth="1"/>
    <col min="2" max="6" width="12" style="15" customWidth="1"/>
    <col min="7" max="16384" width="8.7109375" style="15"/>
  </cols>
  <sheetData>
    <row r="1" spans="1:7" ht="30" customHeight="1" x14ac:dyDescent="0.25">
      <c r="A1" s="14" t="s">
        <v>277</v>
      </c>
      <c r="B1" s="14"/>
      <c r="C1" s="14"/>
      <c r="D1" s="14"/>
      <c r="E1" s="14"/>
      <c r="F1" s="14"/>
      <c r="G1" s="14"/>
    </row>
    <row r="2" spans="1:7" ht="15" customHeight="1" x14ac:dyDescent="0.25">
      <c r="A2" s="75" t="s">
        <v>278</v>
      </c>
      <c r="B2" s="75"/>
      <c r="C2" s="75"/>
      <c r="D2" s="75"/>
      <c r="E2" s="75"/>
      <c r="F2" s="75"/>
      <c r="G2" s="75"/>
    </row>
    <row r="3" spans="1:7" ht="21.75" customHeight="1" x14ac:dyDescent="0.25">
      <c r="A3" s="5" t="s">
        <v>279</v>
      </c>
      <c r="B3" s="5"/>
      <c r="C3" s="5"/>
      <c r="D3" s="5"/>
      <c r="E3" s="5"/>
      <c r="F3" s="5"/>
      <c r="G3" s="5"/>
    </row>
    <row r="4" spans="1:7" ht="15" customHeight="1" x14ac:dyDescent="0.25">
      <c r="A4" s="82" t="s">
        <v>280</v>
      </c>
      <c r="B4" s="82"/>
      <c r="C4" s="82"/>
      <c r="D4" s="82"/>
      <c r="E4" s="82"/>
      <c r="F4" s="82"/>
    </row>
    <row r="5" spans="1:7" ht="18" customHeight="1" x14ac:dyDescent="0.25">
      <c r="A5" s="21" t="s">
        <v>281</v>
      </c>
      <c r="B5" s="22" t="s">
        <v>120</v>
      </c>
      <c r="C5" s="22" t="s">
        <v>121</v>
      </c>
      <c r="D5" s="22" t="s">
        <v>122</v>
      </c>
      <c r="E5" s="22" t="s">
        <v>123</v>
      </c>
      <c r="F5" s="22" t="s">
        <v>124</v>
      </c>
    </row>
    <row r="6" spans="1:7" ht="15" customHeight="1" x14ac:dyDescent="0.25">
      <c r="A6" s="23" t="s">
        <v>282</v>
      </c>
      <c r="B6" s="58">
        <f>IFERROR('📈 P&amp;L INPUT'!B16/'📈 P&amp;L INPUT'!B4,0)</f>
        <v>7.1088499999999999E-2</v>
      </c>
      <c r="C6" s="58">
        <f>IFERROR('📈 P&amp;L INPUT'!C16/'📈 P&amp;L INPUT'!C4,0)</f>
        <v>7.4885184365781718E-2</v>
      </c>
      <c r="D6" s="58">
        <f>IFERROR('📈 P&amp;L INPUT'!D16/'📈 P&amp;L INPUT'!D4,0)</f>
        <v>8.2181548471047486E-2</v>
      </c>
      <c r="E6" s="58">
        <f>IFERROR('📈 P&amp;L INPUT'!E16/'📈 P&amp;L INPUT'!E4,0)</f>
        <v>9.7059291882556131E-2</v>
      </c>
      <c r="F6" s="58">
        <f>IFERROR('📈 P&amp;L INPUT'!F16/'📈 P&amp;L INPUT'!F4,0)</f>
        <v>0.10853177329974813</v>
      </c>
    </row>
    <row r="7" spans="1:7" ht="15" customHeight="1" x14ac:dyDescent="0.25">
      <c r="A7" s="23" t="s">
        <v>283</v>
      </c>
      <c r="B7" s="55">
        <f>IFERROR('📈 P&amp;L INPUT'!B4/'🏛 BALANCE SHEET INPUT'!B12,0)</f>
        <v>1.791044776119403</v>
      </c>
      <c r="C7" s="55">
        <f>IFERROR('📈 P&amp;L INPUT'!C4/'🏛 BALANCE SHEET INPUT'!C12,0)</f>
        <v>1.8262626262626263</v>
      </c>
      <c r="D7" s="55">
        <f>IFERROR('📈 P&amp;L INPUT'!D4/'🏛 BALANCE SHEET INPUT'!D12,0)</f>
        <v>1.8378572282673682</v>
      </c>
      <c r="E7" s="55">
        <f>IFERROR('📈 P&amp;L INPUT'!E4/'🏛 BALANCE SHEET INPUT'!E12,0)</f>
        <v>1.8414078235980069</v>
      </c>
      <c r="F7" s="55">
        <f>IFERROR('📈 P&amp;L INPUT'!F4/'🏛 BALANCE SHEET INPUT'!F12,0)</f>
        <v>1.8534080298786182</v>
      </c>
    </row>
    <row r="8" spans="1:7" ht="15" customHeight="1" x14ac:dyDescent="0.25">
      <c r="A8" s="23" t="s">
        <v>284</v>
      </c>
      <c r="B8" s="55">
        <f>IFERROR('🏛 BALANCE SHEET INPUT'!B12/'🏛 BALANCE SHEET INPUT'!B17,0)</f>
        <v>1.8356164383561644</v>
      </c>
      <c r="C8" s="55">
        <f>IFERROR('🏛 BALANCE SHEET INPUT'!C12/'🏛 BALANCE SHEET INPUT'!C17,0)</f>
        <v>1.6829102447869446</v>
      </c>
      <c r="D8" s="55">
        <f>IFERROR('🏛 BALANCE SHEET INPUT'!D12/'🏛 BALANCE SHEET INPUT'!D17,0)</f>
        <v>1.557935916542474</v>
      </c>
      <c r="E8" s="55">
        <f>IFERROR('🏛 BALANCE SHEET INPUT'!E12/'🏛 BALANCE SHEET INPUT'!E17,0)</f>
        <v>1.4629342431761787</v>
      </c>
      <c r="F8" s="55">
        <f>IFERROR('🏛 BALANCE SHEET INPUT'!F12/'🏛 BALANCE SHEET INPUT'!F17,0)</f>
        <v>1.3889249124627157</v>
      </c>
    </row>
    <row r="9" spans="1:7" ht="23.25" customHeight="1" x14ac:dyDescent="0.25">
      <c r="A9" s="27" t="s">
        <v>285</v>
      </c>
      <c r="B9" s="61">
        <f>B6*B7*B8</f>
        <v>0.2337156164383562</v>
      </c>
      <c r="C9" s="61">
        <f>C6*C7*C8</f>
        <v>0.23015482774252041</v>
      </c>
      <c r="D9" s="61">
        <f>D6*D7*D8</f>
        <v>0.2353074515648286</v>
      </c>
      <c r="E9" s="61">
        <f>E6*E7*E8</f>
        <v>0.26146400434243178</v>
      </c>
      <c r="F9" s="61">
        <f>F6*F7*F8</f>
        <v>0.27938732978861375</v>
      </c>
    </row>
    <row r="10" spans="1:7" ht="18.75" customHeight="1" x14ac:dyDescent="0.25">
      <c r="A10" s="54" t="s">
        <v>286</v>
      </c>
      <c r="B10" s="62">
        <f>IFERROR('📈 P&amp;L INPUT'!B16/'🏛 BALANCE SHEET INPUT'!B17,0)</f>
        <v>0.23371561643835617</v>
      </c>
      <c r="C10" s="62">
        <f>IFERROR('📈 P&amp;L INPUT'!C16/'🏛 BALANCE SHEET INPUT'!C17,0)</f>
        <v>0.23015482774252041</v>
      </c>
      <c r="D10" s="62">
        <f>IFERROR('📈 P&amp;L INPUT'!D16/'🏛 BALANCE SHEET INPUT'!D17,0)</f>
        <v>0.2353074515648286</v>
      </c>
      <c r="E10" s="62">
        <f>IFERROR('📈 P&amp;L INPUT'!E16/'🏛 BALANCE SHEET INPUT'!E17,0)</f>
        <v>0.26146400434243172</v>
      </c>
      <c r="F10" s="62">
        <f>IFERROR('📈 P&amp;L INPUT'!F16/'🏛 BALANCE SHEET INPUT'!F17,0)</f>
        <v>0.27938732978861369</v>
      </c>
    </row>
    <row r="11" spans="1:7" ht="15" customHeight="1" x14ac:dyDescent="0.25">
      <c r="A11" s="63" t="s">
        <v>287</v>
      </c>
      <c r="B11" s="64">
        <f>B9-B10</f>
        <v>0</v>
      </c>
      <c r="C11" s="64">
        <f>C9-C10</f>
        <v>0</v>
      </c>
      <c r="D11" s="64">
        <f>D9-D10</f>
        <v>0</v>
      </c>
      <c r="E11" s="64">
        <f>E9-E10</f>
        <v>0</v>
      </c>
      <c r="F11" s="64">
        <f>F9-F10</f>
        <v>0</v>
      </c>
    </row>
    <row r="13" spans="1:7" ht="15" customHeight="1" x14ac:dyDescent="0.25">
      <c r="A13" s="82" t="s">
        <v>288</v>
      </c>
      <c r="B13" s="82"/>
      <c r="C13" s="82"/>
      <c r="D13" s="82"/>
      <c r="E13" s="82"/>
      <c r="F13" s="82"/>
      <c r="G13" s="82"/>
    </row>
    <row r="15" spans="1:7" ht="21.75" customHeight="1" x14ac:dyDescent="0.25">
      <c r="A15" s="4" t="s">
        <v>289</v>
      </c>
      <c r="B15" s="4"/>
      <c r="C15" s="4"/>
      <c r="D15" s="4"/>
      <c r="E15" s="4"/>
      <c r="F15" s="4"/>
      <c r="G15" s="4"/>
    </row>
    <row r="16" spans="1:7" ht="15" customHeight="1" x14ac:dyDescent="0.25">
      <c r="A16" s="82" t="s">
        <v>290</v>
      </c>
      <c r="B16" s="82"/>
      <c r="C16" s="82"/>
      <c r="D16" s="82"/>
      <c r="E16" s="82"/>
      <c r="F16" s="82"/>
    </row>
    <row r="17" spans="1:7" ht="18" customHeight="1" x14ac:dyDescent="0.25">
      <c r="A17" s="21" t="s">
        <v>281</v>
      </c>
      <c r="B17" s="22" t="s">
        <v>120</v>
      </c>
      <c r="C17" s="22" t="s">
        <v>121</v>
      </c>
      <c r="D17" s="22" t="s">
        <v>122</v>
      </c>
      <c r="E17" s="22" t="s">
        <v>123</v>
      </c>
      <c r="F17" s="22" t="s">
        <v>124</v>
      </c>
    </row>
    <row r="18" spans="1:7" ht="15" customHeight="1" x14ac:dyDescent="0.25">
      <c r="A18" s="23" t="s">
        <v>291</v>
      </c>
      <c r="B18" s="65">
        <f>IFERROR(('🏛 BALANCE SHEET INPUT'!B11-'🏛 BALANCE SHEET INPUT'!B23)/'🏛 BALANCE SHEET INPUT'!B12,0)</f>
        <v>0.29701492537313434</v>
      </c>
      <c r="C18" s="65">
        <f>IFERROR(('🏛 BALANCE SHEET INPUT'!C11-'🏛 BALANCE SHEET INPUT'!C23)/'🏛 BALANCE SHEET INPUT'!C12,0)</f>
        <v>0.3288888888888889</v>
      </c>
      <c r="D18" s="65">
        <f>IFERROR(('🏛 BALANCE SHEET INPUT'!D11-'🏛 BALANCE SHEET INPUT'!D23)/'🏛 BALANCE SHEET INPUT'!D12,0)</f>
        <v>0.35489656821714693</v>
      </c>
      <c r="E18" s="65">
        <f>IFERROR(('🏛 BALANCE SHEET INPUT'!E11-'🏛 BALANCE SHEET INPUT'!E23)/'🏛 BALANCE SHEET INPUT'!E12,0)</f>
        <v>0.38121488391815966</v>
      </c>
      <c r="F18" s="65">
        <f>IFERROR(('🏛 BALANCE SHEET INPUT'!F11-'🏛 BALANCE SHEET INPUT'!F23)/'🏛 BALANCE SHEET INPUT'!F12,0)</f>
        <v>0.40952380952380951</v>
      </c>
    </row>
    <row r="19" spans="1:7" ht="15" customHeight="1" x14ac:dyDescent="0.25">
      <c r="A19" s="23" t="s">
        <v>292</v>
      </c>
      <c r="B19" s="65">
        <f>IFERROR('🏛 BALANCE SHEET INPUT'!B16/'🏛 BALANCE SHEET INPUT'!B12,0)</f>
        <v>0.32089552238805968</v>
      </c>
      <c r="C19" s="65">
        <f>IFERROR('🏛 BALANCE SHEET INPUT'!C16/'🏛 BALANCE SHEET INPUT'!C12,0)</f>
        <v>0.3921885521885522</v>
      </c>
      <c r="D19" s="65">
        <f>IFERROR('🏛 BALANCE SHEET INPUT'!D16/'🏛 BALANCE SHEET INPUT'!D12,0)</f>
        <v>0.46251345211048667</v>
      </c>
      <c r="E19" s="65">
        <f>IFERROR('🏛 BALANCE SHEET INPUT'!E16/'🏛 BALANCE SHEET INPUT'!E12,0)</f>
        <v>0.52454150323332982</v>
      </c>
      <c r="F19" s="65">
        <f>IFERROR('🏛 BALANCE SHEET INPUT'!F16/'🏛 BALANCE SHEET INPUT'!F12,0)</f>
        <v>0.57992530345471527</v>
      </c>
    </row>
    <row r="20" spans="1:7" ht="15" customHeight="1" x14ac:dyDescent="0.25">
      <c r="A20" s="23" t="s">
        <v>293</v>
      </c>
      <c r="B20" s="65">
        <f>IFERROR('📈 P&amp;L INPUT'!B11/'🏛 BALANCE SHEET INPUT'!B12,0)</f>
        <v>0.20597014925373133</v>
      </c>
      <c r="C20" s="65">
        <f>IFERROR('📈 P&amp;L INPUT'!C11/'🏛 BALANCE SHEET INPUT'!C12,0)</f>
        <v>0.21750841750841751</v>
      </c>
      <c r="D20" s="65">
        <f>IFERROR('📈 P&amp;L INPUT'!D11/'🏛 BALANCE SHEET INPUT'!D12,0)</f>
        <v>0.2298218342699988</v>
      </c>
      <c r="E20" s="65">
        <f>IFERROR('📈 P&amp;L INPUT'!E11/'🏛 BALANCE SHEET INPUT'!E12,0)</f>
        <v>0.26004452454150323</v>
      </c>
      <c r="F20" s="65">
        <f>IFERROR('📈 P&amp;L INPUT'!F11/'🏛 BALANCE SHEET INPUT'!F12,0)</f>
        <v>0.28356676003734826</v>
      </c>
    </row>
    <row r="21" spans="1:7" ht="15" customHeight="1" x14ac:dyDescent="0.25">
      <c r="A21" s="23" t="s">
        <v>294</v>
      </c>
      <c r="B21" s="65">
        <f>IFERROR('🏛 BALANCE SHEET INPUT'!B17/('🏛 BALANCE SHEET INPUT'!B18+'🏛 BALANCE SHEET INPUT'!B19+'🏛 BALANCE SHEET INPUT'!B23),0)</f>
        <v>1.1967213114754098</v>
      </c>
      <c r="C21" s="65">
        <f>IFERROR('🏛 BALANCE SHEET INPUT'!C17/('🏛 BALANCE SHEET INPUT'!C18+'🏛 BALANCE SHEET INPUT'!C19+'🏛 BALANCE SHEET INPUT'!C23),0)</f>
        <v>1.4643212744772651</v>
      </c>
      <c r="D21" s="65">
        <f>IFERROR('🏛 BALANCE SHEET INPUT'!D17/('🏛 BALANCE SHEET INPUT'!D18+'🏛 BALANCE SHEET INPUT'!D19+'🏛 BALANCE SHEET INPUT'!D23),0)</f>
        <v>1.7923205342237061</v>
      </c>
      <c r="E21" s="65">
        <f>IFERROR('🏛 BALANCE SHEET INPUT'!E17/('🏛 BALANCE SHEET INPUT'!E18+'🏛 BALANCE SHEET INPUT'!E19+'🏛 BALANCE SHEET INPUT'!E23),0)</f>
        <v>2.1601340033500835</v>
      </c>
      <c r="F21" s="65">
        <f>IFERROR('🏛 BALANCE SHEET INPUT'!F17/('🏛 BALANCE SHEET INPUT'!F18+'🏛 BALANCE SHEET INPUT'!F19+'🏛 BALANCE SHEET INPUT'!F23),0)</f>
        <v>2.5711903967989329</v>
      </c>
    </row>
    <row r="22" spans="1:7" ht="15" customHeight="1" x14ac:dyDescent="0.25">
      <c r="A22" s="43" t="s">
        <v>295</v>
      </c>
      <c r="B22" s="66">
        <f>6.56*B18+3.26*B19+6.72*B20+1.05*B21</f>
        <v>5.6352140934670905</v>
      </c>
      <c r="C22" s="66">
        <f>6.56*C18+3.26*C19+6.72*C20+1.05*C21</f>
        <v>6.4352396951034851</v>
      </c>
      <c r="D22" s="66">
        <f>6.56*D18+3.26*D19+6.72*D20+1.05*D21</f>
        <v>7.2622546286139542</v>
      </c>
      <c r="E22" s="66">
        <f>6.56*E18+3.26*E19+6.72*E20+1.05*E21</f>
        <v>8.226414847480271</v>
      </c>
      <c r="F22" s="66">
        <f>6.56*F18+3.26*F19+6.72*F20+1.05*F21</f>
        <v>9.1823512238284213</v>
      </c>
    </row>
    <row r="23" spans="1:7" ht="15" customHeight="1" x14ac:dyDescent="0.25">
      <c r="A23" s="45" t="s">
        <v>106</v>
      </c>
      <c r="B23" s="67" t="str">
        <f>IF(B22&gt;2.6,"✅ Safe Zone",IF(B22&gt;=1.1,"🟡 Grey Zone","🔴 Distress Zone"))</f>
        <v>✅ Safe Zone</v>
      </c>
      <c r="C23" s="67" t="str">
        <f>IF(C22&gt;2.6,"✅ Safe Zone",IF(C22&gt;=1.1,"🟡 Grey Zone","🔴 Distress Zone"))</f>
        <v>✅ Safe Zone</v>
      </c>
      <c r="D23" s="67" t="str">
        <f>IF(D22&gt;2.6,"✅ Safe Zone",IF(D22&gt;=1.1,"🟡 Grey Zone","🔴 Distress Zone"))</f>
        <v>✅ Safe Zone</v>
      </c>
      <c r="E23" s="67" t="str">
        <f>IF(E22&gt;2.6,"✅ Safe Zone",IF(E22&gt;=1.1,"🟡 Grey Zone","🔴 Distress Zone"))</f>
        <v>✅ Safe Zone</v>
      </c>
      <c r="F23" s="67" t="str">
        <f>IF(F22&gt;2.6,"✅ Safe Zone",IF(F22&gt;=1.1,"🟡 Grey Zone","🔴 Distress Zone"))</f>
        <v>✅ Safe Zone</v>
      </c>
    </row>
    <row r="25" spans="1:7" ht="15" customHeight="1" x14ac:dyDescent="0.25">
      <c r="A25" s="82" t="s">
        <v>296</v>
      </c>
      <c r="B25" s="82"/>
      <c r="C25" s="82"/>
      <c r="D25" s="82"/>
      <c r="E25" s="82"/>
      <c r="F25" s="82"/>
      <c r="G25" s="82"/>
    </row>
  </sheetData>
  <sheetProtection algorithmName="SHA-512" hashValue="RZP8eFDQwItg6g8jMngI7MTyIymdgGytoN8+4r++kBuUDbdmia8FO/ot57wk7B6BeUQ9zMZdvy31YsizNZq17w==" saltValue="xlib4EaRgMnylCCd6iz/8w==" spinCount="100000" sheet="1" objects="1" scenarios="1"/>
  <mergeCells count="8">
    <mergeCell ref="A15:G15"/>
    <mergeCell ref="A16:F16"/>
    <mergeCell ref="A25:G25"/>
    <mergeCell ref="A1:G1"/>
    <mergeCell ref="A2:G2"/>
    <mergeCell ref="A3:G3"/>
    <mergeCell ref="A4:F4"/>
    <mergeCell ref="A13:G13"/>
  </mergeCells>
  <pageMargins left="0.75" right="0.75" top="1" bottom="1" header="0.511811023622047" footer="0.511811023622047"/>
  <pageSetup paperSize="9" orientation="landscape"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6C3483"/>
  </sheetPr>
  <dimension ref="A1:N46"/>
  <sheetViews>
    <sheetView zoomScaleNormal="100" workbookViewId="0">
      <pane ySplit="2" topLeftCell="A3" activePane="bottomLeft" state="frozen"/>
      <selection pane="bottomLeft" sqref="A1:XFD1048576"/>
    </sheetView>
  </sheetViews>
  <sheetFormatPr defaultColWidth="8.7109375" defaultRowHeight="15" x14ac:dyDescent="0.25"/>
  <cols>
    <col min="1" max="1" width="26" style="15" customWidth="1"/>
    <col min="2" max="7" width="13" style="15" customWidth="1"/>
    <col min="8" max="16384" width="8.7109375" style="15"/>
  </cols>
  <sheetData>
    <row r="1" spans="1:14" ht="30" customHeight="1" x14ac:dyDescent="0.25">
      <c r="A1" s="14" t="s">
        <v>297</v>
      </c>
      <c r="B1" s="14"/>
      <c r="C1" s="14"/>
      <c r="D1" s="14"/>
      <c r="E1" s="14"/>
      <c r="F1" s="14"/>
      <c r="G1" s="14"/>
      <c r="H1" s="14"/>
      <c r="I1" s="14"/>
      <c r="J1" s="14"/>
      <c r="K1" s="14"/>
      <c r="L1" s="14"/>
      <c r="M1" s="14"/>
      <c r="N1" s="14"/>
    </row>
    <row r="3" spans="1:14" ht="21.75" customHeight="1" x14ac:dyDescent="0.25">
      <c r="A3" s="13" t="s">
        <v>298</v>
      </c>
      <c r="B3" s="13"/>
      <c r="C3" s="13"/>
      <c r="D3" s="13"/>
      <c r="E3" s="13"/>
      <c r="F3" s="13"/>
      <c r="G3" s="13"/>
    </row>
    <row r="4" spans="1:14" ht="19.5" customHeight="1" x14ac:dyDescent="0.25">
      <c r="A4" s="68" t="s">
        <v>299</v>
      </c>
      <c r="B4" s="12">
        <f>'📊 RATIO ANALYSIS'!$H$5</f>
        <v>3.2561728395061729</v>
      </c>
      <c r="C4" s="12"/>
    </row>
    <row r="6" spans="1:14" ht="19.5" customHeight="1" x14ac:dyDescent="0.25">
      <c r="A6" s="68" t="s">
        <v>138</v>
      </c>
      <c r="B6" s="11">
        <f>'📊 RATIO ANALYSIS'!$H$12</f>
        <v>0.10853177329974813</v>
      </c>
      <c r="C6" s="11"/>
    </row>
    <row r="8" spans="1:14" ht="19.5" customHeight="1" x14ac:dyDescent="0.25">
      <c r="A8" s="68" t="s">
        <v>300</v>
      </c>
      <c r="B8" s="10">
        <f>'📊 RATIO ANALYSIS'!$H$14</f>
        <v>0.27938732978861369</v>
      </c>
      <c r="C8" s="10"/>
    </row>
    <row r="10" spans="1:14" ht="19.5" customHeight="1" x14ac:dyDescent="0.25">
      <c r="A10" s="68" t="s">
        <v>301</v>
      </c>
      <c r="B10" s="9">
        <f>'📊 RATIO ANALYSIS'!$H$18</f>
        <v>0.12968486577616392</v>
      </c>
      <c r="C10" s="9"/>
    </row>
    <row r="12" spans="1:14" ht="19.5" customHeight="1" x14ac:dyDescent="0.25">
      <c r="A12" s="68" t="s">
        <v>302</v>
      </c>
      <c r="B12" s="8">
        <f>'📊 RATIO ANALYSIS'!$H$30</f>
        <v>61.412959634276433</v>
      </c>
      <c r="C12" s="8"/>
    </row>
    <row r="14" spans="1:14" ht="19.5" customHeight="1" x14ac:dyDescent="0.25">
      <c r="A14" s="68" t="s">
        <v>295</v>
      </c>
      <c r="B14" s="7">
        <f>'🎯 DUPONT &amp; Z-SCORE'!$F$22</f>
        <v>9.1823512238284213</v>
      </c>
      <c r="C14" s="7"/>
    </row>
    <row r="16" spans="1:14" ht="19.5" customHeight="1" x14ac:dyDescent="0.25">
      <c r="A16" s="68" t="s">
        <v>260</v>
      </c>
      <c r="B16" s="6">
        <f>'📊 RATIO ANALYSIS'!$H$37</f>
        <v>1700000</v>
      </c>
      <c r="C16" s="6"/>
    </row>
    <row r="19" spans="1:7" ht="21.75" customHeight="1" x14ac:dyDescent="0.25">
      <c r="A19" s="5" t="s">
        <v>303</v>
      </c>
      <c r="B19" s="5"/>
      <c r="C19" s="5"/>
      <c r="D19" s="5"/>
      <c r="E19" s="5"/>
      <c r="F19" s="5"/>
      <c r="G19" s="5"/>
    </row>
    <row r="20" spans="1:7" ht="15" customHeight="1" x14ac:dyDescent="0.25">
      <c r="A20" s="69" t="s">
        <v>304</v>
      </c>
      <c r="B20" s="69" t="s">
        <v>305</v>
      </c>
      <c r="C20" s="69" t="s">
        <v>306</v>
      </c>
    </row>
    <row r="21" spans="1:7" ht="15" customHeight="1" x14ac:dyDescent="0.25">
      <c r="A21" s="70" t="s">
        <v>120</v>
      </c>
      <c r="B21" s="71">
        <f>'📈 P&amp;L INPUT'!B4</f>
        <v>12000000</v>
      </c>
      <c r="C21" s="71">
        <f>'📈 P&amp;L INPUT'!B16</f>
        <v>853062</v>
      </c>
    </row>
    <row r="22" spans="1:7" ht="15" customHeight="1" x14ac:dyDescent="0.25">
      <c r="A22" s="70" t="s">
        <v>121</v>
      </c>
      <c r="B22" s="71">
        <f>'📈 P&amp;L INPUT'!C4</f>
        <v>13560000</v>
      </c>
      <c r="C22" s="71">
        <f>'📈 P&amp;L INPUT'!C16</f>
        <v>1015443.1000000001</v>
      </c>
    </row>
    <row r="23" spans="1:7" ht="15" customHeight="1" x14ac:dyDescent="0.25">
      <c r="A23" s="70" t="s">
        <v>122</v>
      </c>
      <c r="B23" s="71">
        <f>'📈 P&amp;L INPUT'!D4</f>
        <v>15370000</v>
      </c>
      <c r="C23" s="71">
        <f>'📈 P&amp;L INPUT'!D16</f>
        <v>1263130.3999999999</v>
      </c>
    </row>
    <row r="24" spans="1:7" ht="15" customHeight="1" x14ac:dyDescent="0.25">
      <c r="A24" s="70" t="s">
        <v>123</v>
      </c>
      <c r="B24" s="71">
        <f>'📈 P&amp;L INPUT'!E4</f>
        <v>17370000</v>
      </c>
      <c r="C24" s="71">
        <f>'📈 P&amp;L INPUT'!E16</f>
        <v>1685919.9</v>
      </c>
    </row>
    <row r="25" spans="1:7" ht="15" customHeight="1" x14ac:dyDescent="0.25">
      <c r="A25" s="70" t="s">
        <v>124</v>
      </c>
      <c r="B25" s="71">
        <f>'📈 P&amp;L INPUT'!F4</f>
        <v>19850000</v>
      </c>
      <c r="C25" s="71">
        <f>'📈 P&amp;L INPUT'!F16</f>
        <v>2154355.7000000002</v>
      </c>
    </row>
    <row r="27" spans="1:7" ht="21.75" customHeight="1" x14ac:dyDescent="0.25">
      <c r="A27" s="4" t="s">
        <v>307</v>
      </c>
      <c r="B27" s="4"/>
      <c r="C27" s="4"/>
      <c r="D27" s="4"/>
      <c r="E27" s="4"/>
      <c r="F27" s="4"/>
      <c r="G27" s="4"/>
    </row>
    <row r="28" spans="1:7" ht="15" customHeight="1" x14ac:dyDescent="0.25">
      <c r="A28" s="69" t="s">
        <v>304</v>
      </c>
      <c r="B28" s="69" t="s">
        <v>53</v>
      </c>
      <c r="C28" s="69" t="s">
        <v>308</v>
      </c>
      <c r="D28" s="69" t="s">
        <v>309</v>
      </c>
    </row>
    <row r="29" spans="1:7" ht="15" customHeight="1" x14ac:dyDescent="0.25">
      <c r="A29" s="70" t="s">
        <v>120</v>
      </c>
      <c r="B29" s="72">
        <f>'📊 RATIO ANALYSIS'!D5</f>
        <v>2.4632352941176472</v>
      </c>
      <c r="C29" s="73">
        <f>'📊 RATIO ANALYSIS'!D14</f>
        <v>0.23371561643835617</v>
      </c>
      <c r="D29" s="72">
        <f>'📊 RATIO ANALYSIS'!D18</f>
        <v>0.49315068493150682</v>
      </c>
    </row>
    <row r="30" spans="1:7" ht="15" customHeight="1" x14ac:dyDescent="0.25">
      <c r="A30" s="70" t="s">
        <v>121</v>
      </c>
      <c r="B30" s="72">
        <f>'📊 RATIO ANALYSIS'!E5</f>
        <v>2.6748971193415638</v>
      </c>
      <c r="C30" s="73">
        <f>'📊 RATIO ANALYSIS'!E14</f>
        <v>0.23015482774252041</v>
      </c>
      <c r="D30" s="72">
        <f>'📊 RATIO ANALYSIS'!E18</f>
        <v>0.36944696282864914</v>
      </c>
    </row>
    <row r="31" spans="1:7" ht="15" customHeight="1" x14ac:dyDescent="0.25">
      <c r="A31" s="70" t="s">
        <v>122</v>
      </c>
      <c r="B31" s="72">
        <f>'📊 RATIO ANALYSIS'!F5</f>
        <v>2.8666666666666667</v>
      </c>
      <c r="C31" s="73">
        <f>'📊 RATIO ANALYSIS'!F14</f>
        <v>0.2353074515648286</v>
      </c>
      <c r="D31" s="72">
        <f>'📊 RATIO ANALYSIS'!F18</f>
        <v>0.26825633383010433</v>
      </c>
    </row>
    <row r="32" spans="1:7" ht="15" customHeight="1" x14ac:dyDescent="0.25">
      <c r="A32" s="70" t="s">
        <v>123</v>
      </c>
      <c r="B32" s="72">
        <f>'📊 RATIO ANALYSIS'!G5</f>
        <v>3.0583858042358329</v>
      </c>
      <c r="C32" s="73">
        <f>'📊 RATIO ANALYSIS'!G14</f>
        <v>0.26146400434243172</v>
      </c>
      <c r="D32" s="72">
        <f>'📊 RATIO ANALYSIS'!G18</f>
        <v>0.19075682382133996</v>
      </c>
    </row>
    <row r="33" spans="1:7" ht="15" customHeight="1" x14ac:dyDescent="0.25">
      <c r="A33" s="70" t="s">
        <v>124</v>
      </c>
      <c r="B33" s="72">
        <f>'📊 RATIO ANALYSIS'!H5</f>
        <v>3.2561728395061729</v>
      </c>
      <c r="C33" s="73">
        <f>'📊 RATIO ANALYSIS'!H14</f>
        <v>0.27938732978861369</v>
      </c>
      <c r="D33" s="72">
        <f>'📊 RATIO ANALYSIS'!H18</f>
        <v>0.12968486577616392</v>
      </c>
    </row>
    <row r="35" spans="1:7" ht="21.75" customHeight="1" x14ac:dyDescent="0.25">
      <c r="A35" s="3" t="s">
        <v>310</v>
      </c>
      <c r="B35" s="3"/>
      <c r="C35" s="3"/>
      <c r="D35" s="3"/>
      <c r="E35" s="3"/>
      <c r="F35" s="3"/>
      <c r="G35" s="3"/>
    </row>
    <row r="36" spans="1:7" ht="15" customHeight="1" x14ac:dyDescent="0.25">
      <c r="A36" s="69" t="s">
        <v>311</v>
      </c>
      <c r="B36" s="69" t="s">
        <v>312</v>
      </c>
    </row>
    <row r="37" spans="1:7" ht="15" customHeight="1" x14ac:dyDescent="0.25">
      <c r="A37" s="68" t="s">
        <v>313</v>
      </c>
      <c r="B37" s="2" t="str">
        <f>IF('📊 RATIO ANALYSIS'!$H$5&gt;=1.5,"✅ Healthy",IF('📊 RATIO ANALYSIS'!$H$5&gt;=1,"🟡 Adequate","🔴 Weak"))</f>
        <v>✅ Healthy</v>
      </c>
      <c r="C37" s="2"/>
    </row>
    <row r="38" spans="1:7" ht="15" customHeight="1" x14ac:dyDescent="0.25">
      <c r="A38" s="68" t="s">
        <v>314</v>
      </c>
      <c r="B38" s="2" t="str">
        <f>IF('📊 RATIO ANALYSIS'!$H$12&gt;=0.05,"✅ Healthy",IF('📊 RATIO ANALYSIS'!$H$12&gt;=0,"🟡 Thin","🔴 Loss-making"))</f>
        <v>✅ Healthy</v>
      </c>
      <c r="C38" s="2"/>
    </row>
    <row r="39" spans="1:7" ht="15" customHeight="1" x14ac:dyDescent="0.25">
      <c r="A39" s="68" t="s">
        <v>315</v>
      </c>
      <c r="B39" s="2" t="str">
        <f>IF('📊 RATIO ANALYSIS'!$H$18&lt;=1.5,"✅ Healthy",IF('📊 RATIO ANALYSIS'!$H$18&lt;=2.5,"🟡 Elevated","🔴 High Risk"))</f>
        <v>✅ Healthy</v>
      </c>
      <c r="C39" s="2"/>
    </row>
    <row r="40" spans="1:7" ht="15" customHeight="1" x14ac:dyDescent="0.25">
      <c r="A40" s="68" t="s">
        <v>316</v>
      </c>
      <c r="B40" s="2" t="str">
        <f>IF('📊 RATIO ANALYSIS'!$H$20&gt;=3,"✅ Healthy",IF('📊 RATIO ANALYSIS'!$H$20&gt;=1.5,"🟡 Tight","🔴 At Risk"))</f>
        <v>✅ Healthy</v>
      </c>
      <c r="C40" s="2"/>
    </row>
    <row r="41" spans="1:7" ht="15" customHeight="1" x14ac:dyDescent="0.25">
      <c r="A41" s="68" t="s">
        <v>317</v>
      </c>
      <c r="B41" s="2" t="str">
        <f>'🎯 DUPONT &amp; Z-SCORE'!$F$23</f>
        <v>✅ Safe Zone</v>
      </c>
      <c r="C41" s="2"/>
    </row>
    <row r="43" spans="1:7" ht="21.75" customHeight="1" x14ac:dyDescent="0.25">
      <c r="A43" s="1" t="s">
        <v>318</v>
      </c>
      <c r="B43" s="1"/>
      <c r="C43" s="1"/>
      <c r="D43" s="1"/>
      <c r="E43" s="1"/>
      <c r="F43" s="1"/>
      <c r="G43" s="1"/>
    </row>
    <row r="44" spans="1:7" ht="19.5" customHeight="1" x14ac:dyDescent="0.25">
      <c r="A44" s="68" t="s">
        <v>319</v>
      </c>
      <c r="B44" s="12">
        <f>'📊 RATIO ANALYSIS'!$H$40</f>
        <v>-0.1682216567712751</v>
      </c>
      <c r="C44" s="12"/>
    </row>
    <row r="46" spans="1:7" ht="19.5" customHeight="1" x14ac:dyDescent="0.25">
      <c r="A46" s="68" t="s">
        <v>320</v>
      </c>
      <c r="B46" s="74">
        <f>'📊 RATIO ANALYSIS'!$H$42</f>
        <v>6.4606154017857147</v>
      </c>
      <c r="C46" s="74"/>
    </row>
  </sheetData>
  <sheetProtection algorithmName="SHA-512" hashValue="xM48PO2yQqfCp2oNp/Eus6s2qOE9MseFgU6Tr5Eh1QmFC3R0QvlwuGknySRsL18wlRO574OiVATm1c/gFsxvQg==" saltValue="7PNUTqEVjIJfQawMcTDVAg==" spinCount="100000" sheet="1" objects="1" scenarios="1"/>
  <mergeCells count="20">
    <mergeCell ref="B40:C40"/>
    <mergeCell ref="B41:C41"/>
    <mergeCell ref="A43:G43"/>
    <mergeCell ref="B44:C44"/>
    <mergeCell ref="B46:C46"/>
    <mergeCell ref="A27:G27"/>
    <mergeCell ref="A35:G35"/>
    <mergeCell ref="B37:C37"/>
    <mergeCell ref="B38:C38"/>
    <mergeCell ref="B39:C39"/>
    <mergeCell ref="B10:C10"/>
    <mergeCell ref="B12:C12"/>
    <mergeCell ref="B14:C14"/>
    <mergeCell ref="B16:C16"/>
    <mergeCell ref="A19:G19"/>
    <mergeCell ref="A1:N1"/>
    <mergeCell ref="A3:G3"/>
    <mergeCell ref="B4:C4"/>
    <mergeCell ref="B6:C6"/>
    <mergeCell ref="B8:C8"/>
  </mergeCells>
  <pageMargins left="0.75" right="0.75" top="1" bottom="1" header="0.511811023622047" footer="0.511811023622047"/>
  <pageSetup paperSize="9" orientation="landscape" horizontalDpi="300" verticalDpi="300"/>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2E86C1"/>
  </sheetPr>
  <dimension ref="A1:B42"/>
  <sheetViews>
    <sheetView topLeftCell="A10" zoomScaleNormal="100" workbookViewId="0">
      <selection activeCell="A6" sqref="A6"/>
    </sheetView>
  </sheetViews>
  <sheetFormatPr defaultColWidth="8.7109375" defaultRowHeight="15" x14ac:dyDescent="0.25"/>
  <cols>
    <col min="1" max="1" width="6" style="15" customWidth="1"/>
    <col min="2" max="2" width="92" style="15" customWidth="1"/>
    <col min="3" max="16384" width="8.7109375" style="15"/>
  </cols>
  <sheetData>
    <row r="1" spans="1:2" ht="30" customHeight="1" x14ac:dyDescent="0.25">
      <c r="A1" s="14" t="s">
        <v>321</v>
      </c>
      <c r="B1" s="14"/>
    </row>
    <row r="3" spans="1:2" ht="19.5" customHeight="1" x14ac:dyDescent="0.25">
      <c r="A3" s="83" t="s">
        <v>322</v>
      </c>
      <c r="B3" s="83"/>
    </row>
    <row r="4" spans="1:2" ht="19.5" customHeight="1" x14ac:dyDescent="0.25">
      <c r="A4" s="13" t="s">
        <v>323</v>
      </c>
      <c r="B4" s="13"/>
    </row>
    <row r="5" spans="1:2" ht="44.25" customHeight="1" x14ac:dyDescent="0.25">
      <c r="A5" s="84" t="s">
        <v>324</v>
      </c>
      <c r="B5" s="84"/>
    </row>
    <row r="6" spans="1:2" ht="19.5" customHeight="1" x14ac:dyDescent="0.25">
      <c r="A6" s="13" t="s">
        <v>325</v>
      </c>
      <c r="B6" s="13"/>
    </row>
    <row r="7" spans="1:2" ht="56.25" customHeight="1" x14ac:dyDescent="0.25">
      <c r="A7" s="84" t="s">
        <v>326</v>
      </c>
      <c r="B7" s="84"/>
    </row>
    <row r="8" spans="1:2" ht="19.5" customHeight="1" x14ac:dyDescent="0.25">
      <c r="A8" s="13" t="s">
        <v>327</v>
      </c>
      <c r="B8" s="13"/>
    </row>
    <row r="9" spans="1:2" ht="31.5" customHeight="1" x14ac:dyDescent="0.25">
      <c r="A9" s="84" t="s">
        <v>328</v>
      </c>
      <c r="B9" s="84"/>
    </row>
    <row r="10" spans="1:2" ht="19.5" customHeight="1" x14ac:dyDescent="0.25">
      <c r="A10" s="13" t="s">
        <v>329</v>
      </c>
      <c r="B10" s="13"/>
    </row>
    <row r="11" spans="1:2" ht="45" customHeight="1" x14ac:dyDescent="0.25">
      <c r="A11" s="84" t="s">
        <v>330</v>
      </c>
      <c r="B11" s="84"/>
    </row>
    <row r="12" spans="1:2" ht="19.5" customHeight="1" x14ac:dyDescent="0.25">
      <c r="A12" s="13" t="s">
        <v>331</v>
      </c>
      <c r="B12" s="13"/>
    </row>
    <row r="13" spans="1:2" ht="53.25" customHeight="1" x14ac:dyDescent="0.25">
      <c r="A13" s="84" t="s">
        <v>332</v>
      </c>
      <c r="B13" s="84"/>
    </row>
    <row r="14" spans="1:2" ht="19.5" customHeight="1" x14ac:dyDescent="0.25">
      <c r="A14" s="13" t="s">
        <v>333</v>
      </c>
      <c r="B14" s="13"/>
    </row>
    <row r="15" spans="1:2" ht="31.5" customHeight="1" x14ac:dyDescent="0.25">
      <c r="A15" s="84" t="s">
        <v>334</v>
      </c>
      <c r="B15" s="84"/>
    </row>
    <row r="17" spans="1:2" ht="19.5" customHeight="1" x14ac:dyDescent="0.25">
      <c r="A17" s="83" t="s">
        <v>335</v>
      </c>
      <c r="B17" s="83"/>
    </row>
    <row r="18" spans="1:2" ht="31.5" customHeight="1" x14ac:dyDescent="0.25">
      <c r="A18" s="84" t="s">
        <v>336</v>
      </c>
      <c r="B18" s="84"/>
    </row>
    <row r="19" spans="1:2" ht="31.5" customHeight="1" x14ac:dyDescent="0.25">
      <c r="A19" s="84" t="s">
        <v>337</v>
      </c>
      <c r="B19" s="84"/>
    </row>
    <row r="20" spans="1:2" ht="31.5" customHeight="1" x14ac:dyDescent="0.25">
      <c r="A20" s="84" t="s">
        <v>338</v>
      </c>
      <c r="B20" s="84"/>
    </row>
    <row r="21" spans="1:2" ht="31.5" customHeight="1" x14ac:dyDescent="0.25">
      <c r="A21" s="84" t="s">
        <v>339</v>
      </c>
      <c r="B21" s="84"/>
    </row>
    <row r="22" spans="1:2" ht="31.5" customHeight="1" x14ac:dyDescent="0.25">
      <c r="A22" s="84" t="s">
        <v>340</v>
      </c>
      <c r="B22" s="84"/>
    </row>
    <row r="23" spans="1:2" ht="31.5" customHeight="1" x14ac:dyDescent="0.25">
      <c r="A23" s="84" t="s">
        <v>341</v>
      </c>
      <c r="B23" s="84"/>
    </row>
    <row r="24" spans="1:2" ht="19.5" customHeight="1" x14ac:dyDescent="0.25">
      <c r="A24" s="81"/>
      <c r="B24" s="81"/>
    </row>
    <row r="25" spans="1:2" ht="31.5" customHeight="1" x14ac:dyDescent="0.25">
      <c r="A25" s="83" t="s">
        <v>342</v>
      </c>
      <c r="B25" s="83"/>
    </row>
    <row r="26" spans="1:2" ht="31.5" customHeight="1" x14ac:dyDescent="0.25">
      <c r="A26" s="84" t="s">
        <v>343</v>
      </c>
      <c r="B26" s="84"/>
    </row>
    <row r="27" spans="1:2" ht="31.5" customHeight="1" x14ac:dyDescent="0.25">
      <c r="A27" s="84" t="s">
        <v>344</v>
      </c>
      <c r="B27" s="84"/>
    </row>
    <row r="28" spans="1:2" ht="31.5" customHeight="1" x14ac:dyDescent="0.25">
      <c r="A28" s="84" t="s">
        <v>345</v>
      </c>
      <c r="B28" s="84"/>
    </row>
    <row r="29" spans="1:2" ht="31.5" customHeight="1" x14ac:dyDescent="0.25">
      <c r="A29" s="84" t="s">
        <v>346</v>
      </c>
      <c r="B29" s="84"/>
    </row>
    <row r="30" spans="1:2" ht="31.5" customHeight="1" x14ac:dyDescent="0.25">
      <c r="A30" s="84" t="s">
        <v>347</v>
      </c>
      <c r="B30" s="84"/>
    </row>
    <row r="31" spans="1:2" ht="30.75" customHeight="1" x14ac:dyDescent="0.25">
      <c r="A31" s="85" t="s">
        <v>348</v>
      </c>
      <c r="B31" s="85"/>
    </row>
    <row r="32" spans="1:2" ht="19.5" customHeight="1" x14ac:dyDescent="0.25">
      <c r="A32" s="81"/>
      <c r="B32" s="81"/>
    </row>
    <row r="33" spans="1:2" ht="31.5" customHeight="1" x14ac:dyDescent="0.25">
      <c r="A33" s="83" t="s">
        <v>349</v>
      </c>
      <c r="B33" s="83"/>
    </row>
    <row r="34" spans="1:2" ht="31.5" customHeight="1" x14ac:dyDescent="0.25">
      <c r="A34" s="84" t="s">
        <v>350</v>
      </c>
      <c r="B34" s="84"/>
    </row>
    <row r="35" spans="1:2" ht="31.5" customHeight="1" x14ac:dyDescent="0.25">
      <c r="A35" s="84" t="s">
        <v>351</v>
      </c>
      <c r="B35" s="84"/>
    </row>
    <row r="36" spans="1:2" ht="31.5" customHeight="1" x14ac:dyDescent="0.25">
      <c r="A36" s="84" t="s">
        <v>352</v>
      </c>
      <c r="B36" s="84"/>
    </row>
    <row r="37" spans="1:2" ht="30" customHeight="1" x14ac:dyDescent="0.25">
      <c r="A37" s="85" t="s">
        <v>353</v>
      </c>
      <c r="B37" s="85"/>
    </row>
    <row r="38" spans="1:2" ht="19.5" customHeight="1" x14ac:dyDescent="0.25">
      <c r="A38" s="81"/>
      <c r="B38" s="81"/>
    </row>
    <row r="39" spans="1:2" ht="31.5" customHeight="1" x14ac:dyDescent="0.25">
      <c r="A39" s="83" t="s">
        <v>354</v>
      </c>
      <c r="B39" s="83"/>
    </row>
    <row r="40" spans="1:2" ht="27.75" customHeight="1" x14ac:dyDescent="0.25">
      <c r="A40" s="86" t="s">
        <v>355</v>
      </c>
      <c r="B40" s="86"/>
    </row>
    <row r="41" spans="1:2" ht="15.75" customHeight="1" x14ac:dyDescent="0.25">
      <c r="A41" s="81"/>
      <c r="B41" s="81"/>
    </row>
    <row r="42" spans="1:2" ht="15" customHeight="1" x14ac:dyDescent="0.25">
      <c r="A42" s="87" t="s">
        <v>356</v>
      </c>
      <c r="B42" s="87"/>
    </row>
  </sheetData>
  <mergeCells count="40">
    <mergeCell ref="A38:B38"/>
    <mergeCell ref="A39:B39"/>
    <mergeCell ref="A40:B40"/>
    <mergeCell ref="A41:B41"/>
    <mergeCell ref="A42:B42"/>
    <mergeCell ref="A33:B33"/>
    <mergeCell ref="A34:B34"/>
    <mergeCell ref="A35:B35"/>
    <mergeCell ref="A36:B36"/>
    <mergeCell ref="A37:B37"/>
    <mergeCell ref="A28:B28"/>
    <mergeCell ref="A29:B29"/>
    <mergeCell ref="A30:B30"/>
    <mergeCell ref="A31:B31"/>
    <mergeCell ref="A32:B32"/>
    <mergeCell ref="A23:B23"/>
    <mergeCell ref="A24:B24"/>
    <mergeCell ref="A25:B25"/>
    <mergeCell ref="A26:B26"/>
    <mergeCell ref="A27:B27"/>
    <mergeCell ref="A18:B18"/>
    <mergeCell ref="A19:B19"/>
    <mergeCell ref="A20:B20"/>
    <mergeCell ref="A21:B21"/>
    <mergeCell ref="A22:B22"/>
    <mergeCell ref="A12:B12"/>
    <mergeCell ref="A13:B13"/>
    <mergeCell ref="A14:B14"/>
    <mergeCell ref="A15:B15"/>
    <mergeCell ref="A17:B17"/>
    <mergeCell ref="A7:B7"/>
    <mergeCell ref="A8:B8"/>
    <mergeCell ref="A9:B9"/>
    <mergeCell ref="A10:B10"/>
    <mergeCell ref="A11:B11"/>
    <mergeCell ref="A1:B1"/>
    <mergeCell ref="A3:B3"/>
    <mergeCell ref="A4:B4"/>
    <mergeCell ref="A5:B5"/>
    <mergeCell ref="A6:B6"/>
  </mergeCells>
  <pageMargins left="0.75" right="0.75" top="1" bottom="1" header="0.511811023622047" footer="0.511811023622047"/>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Worksheets</vt:lpstr>
      </vt:variant>
      <vt:variant>
        <vt:i4>9</vt:i4>
      </vt:variant>
    </vt:vector>
  </HeadingPairs>
  <TitlesOfParts>
    <vt:vector size="9" baseType="lpstr">
      <vt:lpstr>🏠 COVER</vt:lpstr>
      <vt:lpstr>⚙ SETUP</vt:lpstr>
      <vt:lpstr>📈 P&amp;L INPUT</vt:lpstr>
      <vt:lpstr>🏛 BALANCE SHEET INPUT</vt:lpstr>
      <vt:lpstr>💵 CASH FLOW INPUT</vt:lpstr>
      <vt:lpstr>📊 RATIO ANALYSIS</vt:lpstr>
      <vt:lpstr>🎯 DUPONT &amp; Z-SCORE</vt:lpstr>
      <vt:lpstr>📈 DASHBOARD</vt:lpstr>
      <vt:lpstr>📖 HOW TO USE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description/>
  <cp:lastModifiedBy>madhu roy</cp:lastModifiedBy>
  <cp:revision>28</cp:revision>
  <dcterms:created xsi:type="dcterms:W3CDTF">2026-08-28T04:50:19Z</dcterms:created>
  <dcterms:modified xsi:type="dcterms:W3CDTF">2026-08-28T15:14:35Z</dcterms:modified>
  <dc:language>en-US</dc:language>
</cp:coreProperties>
</file>