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ACER Data website\MAYA\CAMSROY website\Excel Template\Financisl model\"/>
    </mc:Choice>
  </mc:AlternateContent>
  <xr:revisionPtr revIDLastSave="0" documentId="13_ncr:1_{AF580850-9C23-49E7-BEB8-786A4788CED8}" xr6:coauthVersionLast="47" xr6:coauthVersionMax="47" xr10:uidLastSave="{00000000-0000-0000-0000-000000000000}"/>
  <bookViews>
    <workbookView xWindow="-120" yWindow="-120" windowWidth="25440" windowHeight="15270" tabRatio="500" xr2:uid="{00000000-000D-0000-FFFF-FFFF00000000}"/>
  </bookViews>
  <sheets>
    <sheet name="How to Use" sheetId="7" r:id="rId1"/>
    <sheet name="Assumptions" sheetId="1" r:id="rId2"/>
    <sheet name="Sculpting_Schedule" sheetId="2" r:id="rId3"/>
    <sheet name="Equal_Principal_Schedule" sheetId="3" r:id="rId4"/>
    <sheet name="Annual_Summary" sheetId="4" r:id="rId5"/>
    <sheet name="Actual_Rate_Tracker" sheetId="5" r:id="rId6"/>
    <sheet name="VGF_Adjusted_Fixed_Schedule" sheetId="6" r:id="rId7"/>
  </sheets>
  <definedNames>
    <definedName name="_xlnm.Print_Area" localSheetId="0">'How to Use'!$A$1:$C$51</definedName>
  </definedNames>
  <calcPr calcId="191029" iterate="1" iterateCount="32500" iterateDelta="32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 i="2" l="1"/>
  <c r="A1" i="3" s="1"/>
  <c r="A1" i="4" s="1"/>
  <c r="A1" i="5" s="1"/>
  <c r="A1" i="6" s="1"/>
  <c r="B108" i="6"/>
  <c r="E108" i="6" s="1"/>
  <c r="F108" i="6" s="1"/>
  <c r="B107" i="6"/>
  <c r="E107" i="6" s="1"/>
  <c r="F107" i="6" s="1"/>
  <c r="B106" i="6"/>
  <c r="E106" i="6" s="1"/>
  <c r="F106" i="6" s="1"/>
  <c r="B105" i="6"/>
  <c r="E105" i="6" s="1"/>
  <c r="F105" i="6" s="1"/>
  <c r="B104" i="6"/>
  <c r="E104" i="6" s="1"/>
  <c r="F104" i="6" s="1"/>
  <c r="B103" i="6"/>
  <c r="E103" i="6" s="1"/>
  <c r="F103" i="6" s="1"/>
  <c r="B102" i="6"/>
  <c r="E102" i="6" s="1"/>
  <c r="F102" i="6" s="1"/>
  <c r="B101" i="6"/>
  <c r="E101" i="6" s="1"/>
  <c r="F101" i="6" s="1"/>
  <c r="B100" i="6"/>
  <c r="E100" i="6" s="1"/>
  <c r="F100" i="6" s="1"/>
  <c r="B99" i="6"/>
  <c r="E99" i="6" s="1"/>
  <c r="F99" i="6" s="1"/>
  <c r="B98" i="6"/>
  <c r="E98" i="6" s="1"/>
  <c r="F98" i="6" s="1"/>
  <c r="B97" i="6"/>
  <c r="E97" i="6" s="1"/>
  <c r="F97" i="6" s="1"/>
  <c r="B96" i="6"/>
  <c r="E96" i="6" s="1"/>
  <c r="F96" i="6" s="1"/>
  <c r="B95" i="6"/>
  <c r="E95" i="6" s="1"/>
  <c r="F95" i="6" s="1"/>
  <c r="B94" i="6"/>
  <c r="E94" i="6" s="1"/>
  <c r="F94" i="6" s="1"/>
  <c r="B93" i="6"/>
  <c r="E93" i="6" s="1"/>
  <c r="F93" i="6" s="1"/>
  <c r="B92" i="6"/>
  <c r="E92" i="6" s="1"/>
  <c r="F92" i="6" s="1"/>
  <c r="B91" i="6"/>
  <c r="E91" i="6" s="1"/>
  <c r="F91" i="6" s="1"/>
  <c r="B90" i="6"/>
  <c r="E90" i="6" s="1"/>
  <c r="F90" i="6" s="1"/>
  <c r="B89" i="6"/>
  <c r="E89" i="6" s="1"/>
  <c r="F89" i="6" s="1"/>
  <c r="B88" i="6"/>
  <c r="E88" i="6" s="1"/>
  <c r="F88" i="6" s="1"/>
  <c r="B87" i="6"/>
  <c r="E87" i="6" s="1"/>
  <c r="F87" i="6" s="1"/>
  <c r="B86" i="6"/>
  <c r="E86" i="6" s="1"/>
  <c r="F86" i="6" s="1"/>
  <c r="B85" i="6"/>
  <c r="E85" i="6" s="1"/>
  <c r="F85" i="6" s="1"/>
  <c r="B84" i="6"/>
  <c r="E84" i="6" s="1"/>
  <c r="F84" i="6" s="1"/>
  <c r="B83" i="6"/>
  <c r="E83" i="6" s="1"/>
  <c r="F83" i="6" s="1"/>
  <c r="B82" i="6"/>
  <c r="E82" i="6" s="1"/>
  <c r="F82" i="6" s="1"/>
  <c r="B81" i="6"/>
  <c r="E81" i="6" s="1"/>
  <c r="F81" i="6" s="1"/>
  <c r="B80" i="6"/>
  <c r="E80" i="6" s="1"/>
  <c r="F80" i="6" s="1"/>
  <c r="B79" i="6"/>
  <c r="E79" i="6" s="1"/>
  <c r="F79" i="6" s="1"/>
  <c r="B78" i="6"/>
  <c r="E78" i="6" s="1"/>
  <c r="F78" i="6" s="1"/>
  <c r="B77" i="6"/>
  <c r="E77" i="6" s="1"/>
  <c r="F77" i="6" s="1"/>
  <c r="B76" i="6"/>
  <c r="E76" i="6" s="1"/>
  <c r="F76" i="6" s="1"/>
  <c r="B75" i="6"/>
  <c r="E75" i="6" s="1"/>
  <c r="F75" i="6" s="1"/>
  <c r="B74" i="6"/>
  <c r="E74" i="6" s="1"/>
  <c r="F74" i="6" s="1"/>
  <c r="B73" i="6"/>
  <c r="E73" i="6" s="1"/>
  <c r="F73" i="6" s="1"/>
  <c r="B72" i="6"/>
  <c r="E72" i="6" s="1"/>
  <c r="F72" i="6" s="1"/>
  <c r="B71" i="6"/>
  <c r="E71" i="6" s="1"/>
  <c r="F71" i="6" s="1"/>
  <c r="B70" i="6"/>
  <c r="E70" i="6" s="1"/>
  <c r="F70" i="6" s="1"/>
  <c r="B69" i="6"/>
  <c r="E69" i="6" s="1"/>
  <c r="F69" i="6" s="1"/>
  <c r="B68" i="6"/>
  <c r="E68" i="6" s="1"/>
  <c r="F68" i="6" s="1"/>
  <c r="B67" i="6"/>
  <c r="E67" i="6" s="1"/>
  <c r="F67" i="6" s="1"/>
  <c r="B66" i="6"/>
  <c r="E66" i="6" s="1"/>
  <c r="F66" i="6" s="1"/>
  <c r="B65" i="6"/>
  <c r="E65" i="6" s="1"/>
  <c r="F65" i="6" s="1"/>
  <c r="B64" i="6"/>
  <c r="E64" i="6" s="1"/>
  <c r="F64" i="6" s="1"/>
  <c r="B63" i="6"/>
  <c r="E63" i="6" s="1"/>
  <c r="F63" i="6" s="1"/>
  <c r="B62" i="6"/>
  <c r="E62" i="6" s="1"/>
  <c r="F62" i="6" s="1"/>
  <c r="B61" i="6"/>
  <c r="E61" i="6" s="1"/>
  <c r="F61" i="6" s="1"/>
  <c r="B60" i="6"/>
  <c r="E60" i="6" s="1"/>
  <c r="F60" i="6" s="1"/>
  <c r="B59" i="6"/>
  <c r="E59" i="6" s="1"/>
  <c r="F59" i="6" s="1"/>
  <c r="B58" i="6"/>
  <c r="E58" i="6" s="1"/>
  <c r="F58" i="6" s="1"/>
  <c r="B57" i="6"/>
  <c r="E57" i="6" s="1"/>
  <c r="F57" i="6" s="1"/>
  <c r="B56" i="6"/>
  <c r="E56" i="6" s="1"/>
  <c r="F56" i="6" s="1"/>
  <c r="B55" i="6"/>
  <c r="E55" i="6" s="1"/>
  <c r="F55" i="6" s="1"/>
  <c r="B54" i="6"/>
  <c r="E54" i="6" s="1"/>
  <c r="F54" i="6" s="1"/>
  <c r="B53" i="6"/>
  <c r="E53" i="6" s="1"/>
  <c r="F53" i="6" s="1"/>
  <c r="B52" i="6"/>
  <c r="E52" i="6" s="1"/>
  <c r="F52" i="6" s="1"/>
  <c r="B51" i="6"/>
  <c r="E51" i="6" s="1"/>
  <c r="F51" i="6" s="1"/>
  <c r="B50" i="6"/>
  <c r="E50" i="6" s="1"/>
  <c r="F50" i="6" s="1"/>
  <c r="B49" i="6"/>
  <c r="E49" i="6" s="1"/>
  <c r="F49" i="6" s="1"/>
  <c r="B48" i="6"/>
  <c r="E48" i="6" s="1"/>
  <c r="F48" i="6" s="1"/>
  <c r="B47" i="6"/>
  <c r="E47" i="6" s="1"/>
  <c r="F47" i="6" s="1"/>
  <c r="B46" i="6"/>
  <c r="E46" i="6" s="1"/>
  <c r="F46" i="6" s="1"/>
  <c r="B45" i="6"/>
  <c r="E45" i="6" s="1"/>
  <c r="F45" i="6" s="1"/>
  <c r="B44" i="6"/>
  <c r="E44" i="6" s="1"/>
  <c r="F44" i="6" s="1"/>
  <c r="B43" i="6"/>
  <c r="E43" i="6" s="1"/>
  <c r="F43" i="6" s="1"/>
  <c r="B42" i="6"/>
  <c r="E42" i="6" s="1"/>
  <c r="F42" i="6" s="1"/>
  <c r="B41" i="6"/>
  <c r="E41" i="6" s="1"/>
  <c r="F41" i="6" s="1"/>
  <c r="B40" i="6"/>
  <c r="E40" i="6" s="1"/>
  <c r="F40" i="6" s="1"/>
  <c r="B39" i="6"/>
  <c r="E39" i="6" s="1"/>
  <c r="F39" i="6" s="1"/>
  <c r="B38" i="6"/>
  <c r="E38" i="6" s="1"/>
  <c r="F38" i="6" s="1"/>
  <c r="B37" i="6"/>
  <c r="E37" i="6" s="1"/>
  <c r="F37" i="6" s="1"/>
  <c r="B36" i="6"/>
  <c r="E36" i="6" s="1"/>
  <c r="F36" i="6" s="1"/>
  <c r="B35" i="6"/>
  <c r="E35" i="6" s="1"/>
  <c r="F35" i="6" s="1"/>
  <c r="B34" i="6"/>
  <c r="E34" i="6" s="1"/>
  <c r="F34" i="6" s="1"/>
  <c r="B33" i="6"/>
  <c r="E33" i="6" s="1"/>
  <c r="F33" i="6" s="1"/>
  <c r="B32" i="6"/>
  <c r="E32" i="6" s="1"/>
  <c r="F32" i="6" s="1"/>
  <c r="B31" i="6"/>
  <c r="E31" i="6" s="1"/>
  <c r="F31" i="6" s="1"/>
  <c r="B30" i="6"/>
  <c r="E30" i="6" s="1"/>
  <c r="F30" i="6" s="1"/>
  <c r="B29" i="6"/>
  <c r="E29" i="6" s="1"/>
  <c r="F29" i="6" s="1"/>
  <c r="B28" i="6"/>
  <c r="E28" i="6" s="1"/>
  <c r="F28" i="6" s="1"/>
  <c r="B27" i="6"/>
  <c r="E27" i="6" s="1"/>
  <c r="F27" i="6" s="1"/>
  <c r="B26" i="6"/>
  <c r="E26" i="6" s="1"/>
  <c r="F26" i="6" s="1"/>
  <c r="B25" i="6"/>
  <c r="E25" i="6" s="1"/>
  <c r="F25" i="6" s="1"/>
  <c r="B24" i="6"/>
  <c r="E24" i="6" s="1"/>
  <c r="F24" i="6" s="1"/>
  <c r="B23" i="6"/>
  <c r="E23" i="6" s="1"/>
  <c r="F23" i="6" s="1"/>
  <c r="B22" i="6"/>
  <c r="E22" i="6" s="1"/>
  <c r="F22" i="6" s="1"/>
  <c r="B21" i="6"/>
  <c r="E21" i="6" s="1"/>
  <c r="F21" i="6" s="1"/>
  <c r="B20" i="6"/>
  <c r="E20" i="6" s="1"/>
  <c r="F20" i="6" s="1"/>
  <c r="B19" i="6"/>
  <c r="E19" i="6" s="1"/>
  <c r="F19" i="6" s="1"/>
  <c r="B18" i="6"/>
  <c r="E18" i="6" s="1"/>
  <c r="F18" i="6" s="1"/>
  <c r="B17" i="6"/>
  <c r="E17" i="6" s="1"/>
  <c r="F17" i="6" s="1"/>
  <c r="B16" i="6"/>
  <c r="E16" i="6" s="1"/>
  <c r="F16" i="6" s="1"/>
  <c r="B15" i="6"/>
  <c r="E15" i="6" s="1"/>
  <c r="F15" i="6" s="1"/>
  <c r="B14" i="6"/>
  <c r="E14" i="6" s="1"/>
  <c r="F14" i="6" s="1"/>
  <c r="B13" i="6"/>
  <c r="E13" i="6" s="1"/>
  <c r="F13" i="6" s="1"/>
  <c r="B12" i="6"/>
  <c r="E12" i="6" s="1"/>
  <c r="F12" i="6" s="1"/>
  <c r="B11" i="6"/>
  <c r="E11" i="6" s="1"/>
  <c r="F11" i="6" s="1"/>
  <c r="B10" i="6"/>
  <c r="E10" i="6" s="1"/>
  <c r="F10" i="6" s="1"/>
  <c r="D9" i="6"/>
  <c r="B9" i="6"/>
  <c r="E9" i="6" s="1"/>
  <c r="F9" i="6" s="1"/>
  <c r="E6" i="6"/>
  <c r="E106" i="5"/>
  <c r="F106" i="5" s="1"/>
  <c r="B106" i="5"/>
  <c r="E105" i="5"/>
  <c r="F105" i="5" s="1"/>
  <c r="B105" i="5"/>
  <c r="E104" i="5"/>
  <c r="F104" i="5" s="1"/>
  <c r="B104" i="5"/>
  <c r="E103" i="5"/>
  <c r="F103" i="5" s="1"/>
  <c r="B103" i="5"/>
  <c r="E102" i="5"/>
  <c r="F102" i="5" s="1"/>
  <c r="B102" i="5"/>
  <c r="E101" i="5"/>
  <c r="F101" i="5" s="1"/>
  <c r="B101" i="5"/>
  <c r="E100" i="5"/>
  <c r="F100" i="5" s="1"/>
  <c r="B100" i="5"/>
  <c r="E99" i="5"/>
  <c r="F99" i="5" s="1"/>
  <c r="B99" i="5"/>
  <c r="E98" i="5"/>
  <c r="F98" i="5" s="1"/>
  <c r="B98" i="5"/>
  <c r="E97" i="5"/>
  <c r="F97" i="5" s="1"/>
  <c r="B97" i="5"/>
  <c r="E96" i="5"/>
  <c r="F96" i="5" s="1"/>
  <c r="B96" i="5"/>
  <c r="E95" i="5"/>
  <c r="F95" i="5" s="1"/>
  <c r="B95" i="5"/>
  <c r="E94" i="5"/>
  <c r="F94" i="5" s="1"/>
  <c r="B94" i="5"/>
  <c r="E93" i="5"/>
  <c r="F93" i="5" s="1"/>
  <c r="B93" i="5"/>
  <c r="E92" i="5"/>
  <c r="F92" i="5" s="1"/>
  <c r="B92" i="5"/>
  <c r="E91" i="5"/>
  <c r="F91" i="5" s="1"/>
  <c r="B91" i="5"/>
  <c r="E90" i="5"/>
  <c r="F90" i="5" s="1"/>
  <c r="B90" i="5"/>
  <c r="E89" i="5"/>
  <c r="F89" i="5" s="1"/>
  <c r="B89" i="5"/>
  <c r="E88" i="5"/>
  <c r="F88" i="5" s="1"/>
  <c r="B88" i="5"/>
  <c r="E87" i="5"/>
  <c r="F87" i="5" s="1"/>
  <c r="B87" i="5"/>
  <c r="E86" i="5"/>
  <c r="F86" i="5" s="1"/>
  <c r="B86" i="5"/>
  <c r="E85" i="5"/>
  <c r="F85" i="5" s="1"/>
  <c r="B85" i="5"/>
  <c r="E84" i="5"/>
  <c r="F84" i="5" s="1"/>
  <c r="B84" i="5"/>
  <c r="E83" i="5"/>
  <c r="F83" i="5" s="1"/>
  <c r="B83" i="5"/>
  <c r="E82" i="5"/>
  <c r="F82" i="5" s="1"/>
  <c r="B82" i="5"/>
  <c r="E81" i="5"/>
  <c r="F81" i="5" s="1"/>
  <c r="B81" i="5"/>
  <c r="E80" i="5"/>
  <c r="F80" i="5" s="1"/>
  <c r="B80" i="5"/>
  <c r="E79" i="5"/>
  <c r="F79" i="5" s="1"/>
  <c r="B79" i="5"/>
  <c r="E78" i="5"/>
  <c r="F78" i="5" s="1"/>
  <c r="B78" i="5"/>
  <c r="E77" i="5"/>
  <c r="F77" i="5" s="1"/>
  <c r="B77" i="5"/>
  <c r="E76" i="5"/>
  <c r="F76" i="5" s="1"/>
  <c r="B76" i="5"/>
  <c r="E75" i="5"/>
  <c r="F75" i="5" s="1"/>
  <c r="B75" i="5"/>
  <c r="E74" i="5"/>
  <c r="F74" i="5" s="1"/>
  <c r="B74" i="5"/>
  <c r="E73" i="5"/>
  <c r="F73" i="5" s="1"/>
  <c r="B73" i="5"/>
  <c r="E72" i="5"/>
  <c r="F72" i="5" s="1"/>
  <c r="B72" i="5"/>
  <c r="E71" i="5"/>
  <c r="F71" i="5" s="1"/>
  <c r="B71" i="5"/>
  <c r="E70" i="5"/>
  <c r="F70" i="5" s="1"/>
  <c r="B70" i="5"/>
  <c r="E69" i="5"/>
  <c r="F69" i="5" s="1"/>
  <c r="B69" i="5"/>
  <c r="E68" i="5"/>
  <c r="F68" i="5" s="1"/>
  <c r="B68" i="5"/>
  <c r="E67" i="5"/>
  <c r="F67" i="5" s="1"/>
  <c r="B67" i="5"/>
  <c r="E66" i="5"/>
  <c r="F66" i="5" s="1"/>
  <c r="B66" i="5"/>
  <c r="E65" i="5"/>
  <c r="F65" i="5" s="1"/>
  <c r="B65" i="5"/>
  <c r="E64" i="5"/>
  <c r="F64" i="5" s="1"/>
  <c r="B64" i="5"/>
  <c r="E63" i="5"/>
  <c r="F63" i="5" s="1"/>
  <c r="B63" i="5"/>
  <c r="E62" i="5"/>
  <c r="F62" i="5" s="1"/>
  <c r="B62" i="5"/>
  <c r="E61" i="5"/>
  <c r="F61" i="5" s="1"/>
  <c r="B61" i="5"/>
  <c r="E60" i="5"/>
  <c r="F60" i="5" s="1"/>
  <c r="B60" i="5"/>
  <c r="E59" i="5"/>
  <c r="F59" i="5" s="1"/>
  <c r="B59" i="5"/>
  <c r="E58" i="5"/>
  <c r="F58" i="5" s="1"/>
  <c r="B58" i="5"/>
  <c r="E57" i="5"/>
  <c r="F57" i="5" s="1"/>
  <c r="B57" i="5"/>
  <c r="E56" i="5"/>
  <c r="F56" i="5" s="1"/>
  <c r="B56" i="5"/>
  <c r="E55" i="5"/>
  <c r="F55" i="5" s="1"/>
  <c r="B55" i="5"/>
  <c r="E54" i="5"/>
  <c r="F54" i="5" s="1"/>
  <c r="B54" i="5"/>
  <c r="E53" i="5"/>
  <c r="F53" i="5" s="1"/>
  <c r="B53" i="5"/>
  <c r="E52" i="5"/>
  <c r="F52" i="5" s="1"/>
  <c r="B52" i="5"/>
  <c r="E51" i="5"/>
  <c r="F51" i="5" s="1"/>
  <c r="B51" i="5"/>
  <c r="E50" i="5"/>
  <c r="F50" i="5" s="1"/>
  <c r="B50" i="5"/>
  <c r="E49" i="5"/>
  <c r="F49" i="5" s="1"/>
  <c r="B49" i="5"/>
  <c r="E48" i="5"/>
  <c r="F48" i="5" s="1"/>
  <c r="B48" i="5"/>
  <c r="E47" i="5"/>
  <c r="F47" i="5" s="1"/>
  <c r="B47" i="5"/>
  <c r="E46" i="5"/>
  <c r="F46" i="5" s="1"/>
  <c r="B46" i="5"/>
  <c r="E45" i="5"/>
  <c r="F45" i="5" s="1"/>
  <c r="B45" i="5"/>
  <c r="E44" i="5"/>
  <c r="F44" i="5" s="1"/>
  <c r="B44" i="5"/>
  <c r="E43" i="5"/>
  <c r="F43" i="5" s="1"/>
  <c r="B43" i="5"/>
  <c r="E42" i="5"/>
  <c r="F42" i="5" s="1"/>
  <c r="B42" i="5"/>
  <c r="E41" i="5"/>
  <c r="F41" i="5" s="1"/>
  <c r="B41" i="5"/>
  <c r="E40" i="5"/>
  <c r="F40" i="5" s="1"/>
  <c r="B40" i="5"/>
  <c r="E39" i="5"/>
  <c r="F39" i="5" s="1"/>
  <c r="B39" i="5"/>
  <c r="E38" i="5"/>
  <c r="F38" i="5" s="1"/>
  <c r="B38" i="5"/>
  <c r="E37" i="5"/>
  <c r="F37" i="5" s="1"/>
  <c r="B37" i="5"/>
  <c r="E36" i="5"/>
  <c r="F36" i="5" s="1"/>
  <c r="B36" i="5"/>
  <c r="E35" i="5"/>
  <c r="F35" i="5" s="1"/>
  <c r="B35" i="5"/>
  <c r="E34" i="5"/>
  <c r="F34" i="5" s="1"/>
  <c r="B34" i="5"/>
  <c r="E33" i="5"/>
  <c r="F33" i="5" s="1"/>
  <c r="B33" i="5"/>
  <c r="E32" i="5"/>
  <c r="F32" i="5" s="1"/>
  <c r="B32" i="5"/>
  <c r="E31" i="5"/>
  <c r="F31" i="5" s="1"/>
  <c r="B31" i="5"/>
  <c r="E30" i="5"/>
  <c r="F30" i="5" s="1"/>
  <c r="B30" i="5"/>
  <c r="E29" i="5"/>
  <c r="F29" i="5" s="1"/>
  <c r="B29" i="5"/>
  <c r="E28" i="5"/>
  <c r="F28" i="5" s="1"/>
  <c r="B28" i="5"/>
  <c r="E27" i="5"/>
  <c r="F27" i="5" s="1"/>
  <c r="B27" i="5"/>
  <c r="E26" i="5"/>
  <c r="F26" i="5" s="1"/>
  <c r="B26" i="5"/>
  <c r="E25" i="5"/>
  <c r="F25" i="5" s="1"/>
  <c r="B25" i="5"/>
  <c r="E24" i="5"/>
  <c r="F24" i="5" s="1"/>
  <c r="B24" i="5"/>
  <c r="E23" i="5"/>
  <c r="F23" i="5" s="1"/>
  <c r="B23" i="5"/>
  <c r="E22" i="5"/>
  <c r="F22" i="5" s="1"/>
  <c r="B22" i="5"/>
  <c r="E21" i="5"/>
  <c r="F21" i="5" s="1"/>
  <c r="B21" i="5"/>
  <c r="E20" i="5"/>
  <c r="F20" i="5" s="1"/>
  <c r="B20" i="5"/>
  <c r="E19" i="5"/>
  <c r="F19" i="5" s="1"/>
  <c r="B19" i="5"/>
  <c r="E18" i="5"/>
  <c r="F18" i="5" s="1"/>
  <c r="B18" i="5"/>
  <c r="E17" i="5"/>
  <c r="F17" i="5" s="1"/>
  <c r="B17" i="5"/>
  <c r="E16" i="5"/>
  <c r="F16" i="5" s="1"/>
  <c r="B16" i="5"/>
  <c r="E15" i="5"/>
  <c r="F15" i="5" s="1"/>
  <c r="B15" i="5"/>
  <c r="E14" i="5"/>
  <c r="F14" i="5" s="1"/>
  <c r="B14" i="5"/>
  <c r="E13" i="5"/>
  <c r="F13" i="5" s="1"/>
  <c r="B13" i="5"/>
  <c r="E12" i="5"/>
  <c r="F12" i="5" s="1"/>
  <c r="B12" i="5"/>
  <c r="E11" i="5"/>
  <c r="F11" i="5" s="1"/>
  <c r="B11" i="5"/>
  <c r="E10" i="5"/>
  <c r="F10" i="5" s="1"/>
  <c r="B10" i="5"/>
  <c r="E9" i="5"/>
  <c r="F9" i="5" s="1"/>
  <c r="B9" i="5"/>
  <c r="E8" i="5"/>
  <c r="F8" i="5" s="1"/>
  <c r="B8" i="5"/>
  <c r="E7" i="5"/>
  <c r="F7" i="5" s="1"/>
  <c r="B7" i="5"/>
  <c r="B107" i="3"/>
  <c r="E107" i="3" s="1"/>
  <c r="F107" i="3" s="1"/>
  <c r="B106" i="3"/>
  <c r="E106" i="3" s="1"/>
  <c r="F106" i="3" s="1"/>
  <c r="B105" i="3"/>
  <c r="E105" i="3" s="1"/>
  <c r="F105" i="3" s="1"/>
  <c r="B104" i="3"/>
  <c r="E104" i="3" s="1"/>
  <c r="F104" i="3" s="1"/>
  <c r="B103" i="3"/>
  <c r="E103" i="3" s="1"/>
  <c r="F103" i="3" s="1"/>
  <c r="B102" i="3"/>
  <c r="E102" i="3" s="1"/>
  <c r="F102" i="3" s="1"/>
  <c r="B101" i="3"/>
  <c r="E101" i="3" s="1"/>
  <c r="F101" i="3" s="1"/>
  <c r="B100" i="3"/>
  <c r="E100" i="3" s="1"/>
  <c r="F100" i="3" s="1"/>
  <c r="B99" i="3"/>
  <c r="E99" i="3" s="1"/>
  <c r="F99" i="3" s="1"/>
  <c r="B98" i="3"/>
  <c r="E98" i="3" s="1"/>
  <c r="F98" i="3" s="1"/>
  <c r="B97" i="3"/>
  <c r="E97" i="3" s="1"/>
  <c r="F97" i="3" s="1"/>
  <c r="B96" i="3"/>
  <c r="E96" i="3" s="1"/>
  <c r="F96" i="3" s="1"/>
  <c r="B95" i="3"/>
  <c r="E95" i="3" s="1"/>
  <c r="F95" i="3" s="1"/>
  <c r="B94" i="3"/>
  <c r="E94" i="3" s="1"/>
  <c r="F94" i="3" s="1"/>
  <c r="B93" i="3"/>
  <c r="E93" i="3" s="1"/>
  <c r="F93" i="3" s="1"/>
  <c r="B92" i="3"/>
  <c r="E92" i="3" s="1"/>
  <c r="F92" i="3" s="1"/>
  <c r="B91" i="3"/>
  <c r="E91" i="3" s="1"/>
  <c r="F91" i="3" s="1"/>
  <c r="B90" i="3"/>
  <c r="E90" i="3" s="1"/>
  <c r="F90" i="3" s="1"/>
  <c r="B89" i="3"/>
  <c r="E89" i="3" s="1"/>
  <c r="F89" i="3" s="1"/>
  <c r="B88" i="3"/>
  <c r="E88" i="3" s="1"/>
  <c r="F88" i="3" s="1"/>
  <c r="B87" i="3"/>
  <c r="E87" i="3" s="1"/>
  <c r="F87" i="3" s="1"/>
  <c r="B86" i="3"/>
  <c r="E86" i="3" s="1"/>
  <c r="F86" i="3" s="1"/>
  <c r="B85" i="3"/>
  <c r="E85" i="3" s="1"/>
  <c r="F85" i="3" s="1"/>
  <c r="B84" i="3"/>
  <c r="E84" i="3" s="1"/>
  <c r="F84" i="3" s="1"/>
  <c r="B83" i="3"/>
  <c r="E83" i="3" s="1"/>
  <c r="F83" i="3" s="1"/>
  <c r="B82" i="3"/>
  <c r="E82" i="3" s="1"/>
  <c r="F82" i="3" s="1"/>
  <c r="B81" i="3"/>
  <c r="E81" i="3" s="1"/>
  <c r="F81" i="3" s="1"/>
  <c r="B80" i="3"/>
  <c r="E80" i="3" s="1"/>
  <c r="F80" i="3" s="1"/>
  <c r="B79" i="3"/>
  <c r="E79" i="3" s="1"/>
  <c r="F79" i="3" s="1"/>
  <c r="B78" i="3"/>
  <c r="E78" i="3" s="1"/>
  <c r="F78" i="3" s="1"/>
  <c r="B77" i="3"/>
  <c r="E77" i="3" s="1"/>
  <c r="F77" i="3" s="1"/>
  <c r="B76" i="3"/>
  <c r="E76" i="3" s="1"/>
  <c r="F76" i="3" s="1"/>
  <c r="B75" i="3"/>
  <c r="E75" i="3" s="1"/>
  <c r="F75" i="3" s="1"/>
  <c r="B74" i="3"/>
  <c r="E74" i="3" s="1"/>
  <c r="F74" i="3" s="1"/>
  <c r="B73" i="3"/>
  <c r="E73" i="3" s="1"/>
  <c r="F73" i="3" s="1"/>
  <c r="B72" i="3"/>
  <c r="E72" i="3" s="1"/>
  <c r="F72" i="3" s="1"/>
  <c r="B71" i="3"/>
  <c r="E71" i="3" s="1"/>
  <c r="F71" i="3" s="1"/>
  <c r="B70" i="3"/>
  <c r="E70" i="3" s="1"/>
  <c r="F70" i="3" s="1"/>
  <c r="B69" i="3"/>
  <c r="E69" i="3" s="1"/>
  <c r="F69" i="3" s="1"/>
  <c r="B68" i="3"/>
  <c r="E68" i="3" s="1"/>
  <c r="F68" i="3" s="1"/>
  <c r="B67" i="3"/>
  <c r="E67" i="3" s="1"/>
  <c r="F67" i="3" s="1"/>
  <c r="B66" i="3"/>
  <c r="E66" i="3" s="1"/>
  <c r="F66" i="3" s="1"/>
  <c r="B65" i="3"/>
  <c r="E65" i="3" s="1"/>
  <c r="F65" i="3" s="1"/>
  <c r="B64" i="3"/>
  <c r="E64" i="3" s="1"/>
  <c r="F64" i="3" s="1"/>
  <c r="B63" i="3"/>
  <c r="E63" i="3" s="1"/>
  <c r="F63" i="3" s="1"/>
  <c r="B62" i="3"/>
  <c r="E62" i="3" s="1"/>
  <c r="F62" i="3" s="1"/>
  <c r="B61" i="3"/>
  <c r="E61" i="3" s="1"/>
  <c r="F61" i="3" s="1"/>
  <c r="B60" i="3"/>
  <c r="E60" i="3" s="1"/>
  <c r="F60" i="3" s="1"/>
  <c r="B59" i="3"/>
  <c r="E59" i="3" s="1"/>
  <c r="F59" i="3" s="1"/>
  <c r="B58" i="3"/>
  <c r="E58" i="3" s="1"/>
  <c r="F58" i="3" s="1"/>
  <c r="B57" i="3"/>
  <c r="E57" i="3" s="1"/>
  <c r="F57" i="3" s="1"/>
  <c r="B56" i="3"/>
  <c r="E56" i="3" s="1"/>
  <c r="F56" i="3" s="1"/>
  <c r="B55" i="3"/>
  <c r="E55" i="3" s="1"/>
  <c r="F55" i="3" s="1"/>
  <c r="B54" i="3"/>
  <c r="E54" i="3" s="1"/>
  <c r="F54" i="3" s="1"/>
  <c r="B53" i="3"/>
  <c r="E53" i="3" s="1"/>
  <c r="F53" i="3" s="1"/>
  <c r="B52" i="3"/>
  <c r="E52" i="3" s="1"/>
  <c r="F52" i="3" s="1"/>
  <c r="B51" i="3"/>
  <c r="E51" i="3" s="1"/>
  <c r="F51" i="3" s="1"/>
  <c r="B50" i="3"/>
  <c r="E50" i="3" s="1"/>
  <c r="F50" i="3" s="1"/>
  <c r="B49" i="3"/>
  <c r="E49" i="3" s="1"/>
  <c r="F49" i="3" s="1"/>
  <c r="B48" i="3"/>
  <c r="E48" i="3" s="1"/>
  <c r="F48" i="3" s="1"/>
  <c r="B47" i="3"/>
  <c r="E47" i="3" s="1"/>
  <c r="F47" i="3" s="1"/>
  <c r="B46" i="3"/>
  <c r="E46" i="3" s="1"/>
  <c r="F46" i="3" s="1"/>
  <c r="B45" i="3"/>
  <c r="E45" i="3" s="1"/>
  <c r="F45" i="3" s="1"/>
  <c r="B44" i="3"/>
  <c r="E44" i="3" s="1"/>
  <c r="F44" i="3" s="1"/>
  <c r="B43" i="3"/>
  <c r="E43" i="3" s="1"/>
  <c r="F43" i="3" s="1"/>
  <c r="B42" i="3"/>
  <c r="E42" i="3" s="1"/>
  <c r="F42" i="3" s="1"/>
  <c r="B41" i="3"/>
  <c r="E41" i="3" s="1"/>
  <c r="F41" i="3" s="1"/>
  <c r="B40" i="3"/>
  <c r="E40" i="3" s="1"/>
  <c r="F40" i="3" s="1"/>
  <c r="B39" i="3"/>
  <c r="E39" i="3" s="1"/>
  <c r="F39" i="3" s="1"/>
  <c r="B38" i="3"/>
  <c r="E38" i="3" s="1"/>
  <c r="F38" i="3" s="1"/>
  <c r="B37" i="3"/>
  <c r="E37" i="3" s="1"/>
  <c r="F37" i="3" s="1"/>
  <c r="B36" i="3"/>
  <c r="E36" i="3" s="1"/>
  <c r="F36" i="3" s="1"/>
  <c r="B35" i="3"/>
  <c r="E35" i="3" s="1"/>
  <c r="F35" i="3" s="1"/>
  <c r="B34" i="3"/>
  <c r="E34" i="3" s="1"/>
  <c r="F34" i="3" s="1"/>
  <c r="B33" i="3"/>
  <c r="E33" i="3" s="1"/>
  <c r="F33" i="3" s="1"/>
  <c r="B32" i="3"/>
  <c r="E32" i="3" s="1"/>
  <c r="F32" i="3" s="1"/>
  <c r="B31" i="3"/>
  <c r="E31" i="3" s="1"/>
  <c r="F31" i="3" s="1"/>
  <c r="B30" i="3"/>
  <c r="E30" i="3" s="1"/>
  <c r="F30" i="3" s="1"/>
  <c r="B29" i="3"/>
  <c r="E29" i="3" s="1"/>
  <c r="F29" i="3" s="1"/>
  <c r="B28" i="3"/>
  <c r="E28" i="3" s="1"/>
  <c r="F28" i="3" s="1"/>
  <c r="B27" i="3"/>
  <c r="E27" i="3" s="1"/>
  <c r="F27" i="3" s="1"/>
  <c r="B26" i="3"/>
  <c r="E26" i="3" s="1"/>
  <c r="F26" i="3" s="1"/>
  <c r="B25" i="3"/>
  <c r="E25" i="3" s="1"/>
  <c r="F25" i="3" s="1"/>
  <c r="B24" i="3"/>
  <c r="E24" i="3" s="1"/>
  <c r="F24" i="3" s="1"/>
  <c r="B23" i="3"/>
  <c r="E23" i="3" s="1"/>
  <c r="F23" i="3" s="1"/>
  <c r="B22" i="3"/>
  <c r="E22" i="3" s="1"/>
  <c r="F22" i="3" s="1"/>
  <c r="B21" i="3"/>
  <c r="E21" i="3" s="1"/>
  <c r="F21" i="3" s="1"/>
  <c r="B20" i="3"/>
  <c r="E20" i="3" s="1"/>
  <c r="F20" i="3" s="1"/>
  <c r="B19" i="3"/>
  <c r="E19" i="3" s="1"/>
  <c r="F19" i="3" s="1"/>
  <c r="B18" i="3"/>
  <c r="E18" i="3" s="1"/>
  <c r="F18" i="3" s="1"/>
  <c r="B17" i="3"/>
  <c r="E17" i="3" s="1"/>
  <c r="F17" i="3" s="1"/>
  <c r="B16" i="3"/>
  <c r="E16" i="3" s="1"/>
  <c r="F16" i="3" s="1"/>
  <c r="B15" i="3"/>
  <c r="E15" i="3" s="1"/>
  <c r="F15" i="3" s="1"/>
  <c r="B14" i="3"/>
  <c r="E14" i="3" s="1"/>
  <c r="F14" i="3" s="1"/>
  <c r="B13" i="3"/>
  <c r="E13" i="3" s="1"/>
  <c r="F13" i="3" s="1"/>
  <c r="B12" i="3"/>
  <c r="E12" i="3" s="1"/>
  <c r="F12" i="3" s="1"/>
  <c r="B11" i="3"/>
  <c r="E11" i="3" s="1"/>
  <c r="F11" i="3" s="1"/>
  <c r="B10" i="3"/>
  <c r="E10" i="3" s="1"/>
  <c r="F10" i="3" s="1"/>
  <c r="B9" i="3"/>
  <c r="E9" i="3" s="1"/>
  <c r="F9" i="3" s="1"/>
  <c r="D8" i="3"/>
  <c r="B8" i="3"/>
  <c r="E8" i="3" s="1"/>
  <c r="F8" i="3" s="1"/>
  <c r="B106" i="2"/>
  <c r="E106" i="2" s="1"/>
  <c r="F106" i="2" s="1"/>
  <c r="H106" i="2" s="1"/>
  <c r="B105" i="2"/>
  <c r="E105" i="2" s="1"/>
  <c r="F105" i="2" s="1"/>
  <c r="H105" i="2" s="1"/>
  <c r="B104" i="2"/>
  <c r="E104" i="2" s="1"/>
  <c r="F104" i="2" s="1"/>
  <c r="H104" i="2" s="1"/>
  <c r="B103" i="2"/>
  <c r="E103" i="2" s="1"/>
  <c r="F103" i="2" s="1"/>
  <c r="B102" i="2"/>
  <c r="E102" i="2" s="1"/>
  <c r="F102" i="2" s="1"/>
  <c r="H102" i="2" s="1"/>
  <c r="B101" i="2"/>
  <c r="E101" i="2" s="1"/>
  <c r="F101" i="2" s="1"/>
  <c r="H101" i="2" s="1"/>
  <c r="B100" i="2"/>
  <c r="E100" i="2" s="1"/>
  <c r="F100" i="2" s="1"/>
  <c r="H100" i="2" s="1"/>
  <c r="B99" i="2"/>
  <c r="E99" i="2" s="1"/>
  <c r="F99" i="2" s="1"/>
  <c r="H99" i="2" s="1"/>
  <c r="B98" i="2"/>
  <c r="E98" i="2" s="1"/>
  <c r="F98" i="2" s="1"/>
  <c r="H98" i="2" s="1"/>
  <c r="B97" i="2"/>
  <c r="E97" i="2" s="1"/>
  <c r="F97" i="2" s="1"/>
  <c r="H97" i="2" s="1"/>
  <c r="B96" i="2"/>
  <c r="E96" i="2" s="1"/>
  <c r="F96" i="2" s="1"/>
  <c r="H96" i="2" s="1"/>
  <c r="B95" i="2"/>
  <c r="E95" i="2" s="1"/>
  <c r="F95" i="2" s="1"/>
  <c r="H95" i="2" s="1"/>
  <c r="B94" i="2"/>
  <c r="E94" i="2" s="1"/>
  <c r="F94" i="2" s="1"/>
  <c r="H94" i="2" s="1"/>
  <c r="B93" i="2"/>
  <c r="E93" i="2" s="1"/>
  <c r="F93" i="2" s="1"/>
  <c r="H93" i="2" s="1"/>
  <c r="B92" i="2"/>
  <c r="E92" i="2" s="1"/>
  <c r="F92" i="2" s="1"/>
  <c r="H92" i="2" s="1"/>
  <c r="B91" i="2"/>
  <c r="E91" i="2" s="1"/>
  <c r="F91" i="2" s="1"/>
  <c r="B90" i="2"/>
  <c r="E90" i="2" s="1"/>
  <c r="F90" i="2" s="1"/>
  <c r="H90" i="2" s="1"/>
  <c r="B89" i="2"/>
  <c r="E89" i="2" s="1"/>
  <c r="F89" i="2" s="1"/>
  <c r="H89" i="2" s="1"/>
  <c r="B88" i="2"/>
  <c r="E88" i="2" s="1"/>
  <c r="F88" i="2" s="1"/>
  <c r="H88" i="2" s="1"/>
  <c r="B87" i="2"/>
  <c r="E87" i="2" s="1"/>
  <c r="F87" i="2" s="1"/>
  <c r="B86" i="2"/>
  <c r="E86" i="2" s="1"/>
  <c r="F86" i="2" s="1"/>
  <c r="H86" i="2" s="1"/>
  <c r="B85" i="2"/>
  <c r="E85" i="2" s="1"/>
  <c r="F85" i="2" s="1"/>
  <c r="H85" i="2" s="1"/>
  <c r="B84" i="2"/>
  <c r="E84" i="2" s="1"/>
  <c r="F84" i="2" s="1"/>
  <c r="H84" i="2" s="1"/>
  <c r="B83" i="2"/>
  <c r="E83" i="2" s="1"/>
  <c r="F83" i="2" s="1"/>
  <c r="B82" i="2"/>
  <c r="E82" i="2" s="1"/>
  <c r="F82" i="2" s="1"/>
  <c r="H82" i="2" s="1"/>
  <c r="B81" i="2"/>
  <c r="E81" i="2" s="1"/>
  <c r="F81" i="2" s="1"/>
  <c r="H81" i="2" s="1"/>
  <c r="B80" i="2"/>
  <c r="E80" i="2" s="1"/>
  <c r="F80" i="2" s="1"/>
  <c r="H80" i="2" s="1"/>
  <c r="B79" i="2"/>
  <c r="E79" i="2" s="1"/>
  <c r="F79" i="2" s="1"/>
  <c r="B78" i="2"/>
  <c r="E78" i="2" s="1"/>
  <c r="F78" i="2" s="1"/>
  <c r="H78" i="2" s="1"/>
  <c r="B77" i="2"/>
  <c r="E77" i="2" s="1"/>
  <c r="F77" i="2" s="1"/>
  <c r="H77" i="2" s="1"/>
  <c r="B76" i="2"/>
  <c r="E76" i="2" s="1"/>
  <c r="F76" i="2" s="1"/>
  <c r="H76" i="2" s="1"/>
  <c r="B75" i="2"/>
  <c r="E75" i="2" s="1"/>
  <c r="F75" i="2" s="1"/>
  <c r="B74" i="2"/>
  <c r="E74" i="2" s="1"/>
  <c r="F74" i="2" s="1"/>
  <c r="H74" i="2" s="1"/>
  <c r="B73" i="2"/>
  <c r="E73" i="2" s="1"/>
  <c r="F73" i="2" s="1"/>
  <c r="H73" i="2" s="1"/>
  <c r="B72" i="2"/>
  <c r="E72" i="2" s="1"/>
  <c r="F72" i="2" s="1"/>
  <c r="H72" i="2" s="1"/>
  <c r="B71" i="2"/>
  <c r="E71" i="2" s="1"/>
  <c r="F71" i="2" s="1"/>
  <c r="B70" i="2"/>
  <c r="E70" i="2" s="1"/>
  <c r="F70" i="2" s="1"/>
  <c r="H70" i="2" s="1"/>
  <c r="B69" i="2"/>
  <c r="E69" i="2" s="1"/>
  <c r="F69" i="2" s="1"/>
  <c r="H69" i="2" s="1"/>
  <c r="B68" i="2"/>
  <c r="E68" i="2" s="1"/>
  <c r="F68" i="2" s="1"/>
  <c r="H68" i="2" s="1"/>
  <c r="B67" i="2"/>
  <c r="E67" i="2" s="1"/>
  <c r="F67" i="2" s="1"/>
  <c r="B66" i="2"/>
  <c r="E66" i="2" s="1"/>
  <c r="F66" i="2" s="1"/>
  <c r="H66" i="2" s="1"/>
  <c r="B65" i="2"/>
  <c r="E65" i="2" s="1"/>
  <c r="F65" i="2" s="1"/>
  <c r="H65" i="2" s="1"/>
  <c r="B64" i="2"/>
  <c r="E64" i="2" s="1"/>
  <c r="F64" i="2" s="1"/>
  <c r="H64" i="2" s="1"/>
  <c r="B63" i="2"/>
  <c r="E63" i="2" s="1"/>
  <c r="F63" i="2" s="1"/>
  <c r="B62" i="2"/>
  <c r="E62" i="2" s="1"/>
  <c r="F62" i="2" s="1"/>
  <c r="H62" i="2" s="1"/>
  <c r="B61" i="2"/>
  <c r="E61" i="2" s="1"/>
  <c r="F61" i="2" s="1"/>
  <c r="H61" i="2" s="1"/>
  <c r="B60" i="2"/>
  <c r="E60" i="2" s="1"/>
  <c r="F60" i="2" s="1"/>
  <c r="H60" i="2" s="1"/>
  <c r="B59" i="2"/>
  <c r="E59" i="2" s="1"/>
  <c r="F59" i="2" s="1"/>
  <c r="B58" i="2"/>
  <c r="E58" i="2" s="1"/>
  <c r="F58" i="2" s="1"/>
  <c r="H58" i="2" s="1"/>
  <c r="B57" i="2"/>
  <c r="E57" i="2" s="1"/>
  <c r="F57" i="2" s="1"/>
  <c r="H57" i="2" s="1"/>
  <c r="B56" i="2"/>
  <c r="E56" i="2" s="1"/>
  <c r="F56" i="2" s="1"/>
  <c r="H56" i="2" s="1"/>
  <c r="B55" i="2"/>
  <c r="E55" i="2" s="1"/>
  <c r="F55" i="2" s="1"/>
  <c r="B54" i="2"/>
  <c r="E54" i="2" s="1"/>
  <c r="F54" i="2" s="1"/>
  <c r="H54" i="2" s="1"/>
  <c r="B53" i="2"/>
  <c r="E53" i="2" s="1"/>
  <c r="F53" i="2" s="1"/>
  <c r="H53" i="2" s="1"/>
  <c r="B52" i="2"/>
  <c r="E52" i="2" s="1"/>
  <c r="F52" i="2" s="1"/>
  <c r="H52" i="2" s="1"/>
  <c r="B51" i="2"/>
  <c r="E51" i="2" s="1"/>
  <c r="F51" i="2" s="1"/>
  <c r="B50" i="2"/>
  <c r="E50" i="2" s="1"/>
  <c r="F50" i="2" s="1"/>
  <c r="H50" i="2" s="1"/>
  <c r="B49" i="2"/>
  <c r="E49" i="2" s="1"/>
  <c r="F49" i="2" s="1"/>
  <c r="H49" i="2" s="1"/>
  <c r="B48" i="2"/>
  <c r="E48" i="2" s="1"/>
  <c r="F48" i="2" s="1"/>
  <c r="H48" i="2" s="1"/>
  <c r="B47" i="2"/>
  <c r="E47" i="2" s="1"/>
  <c r="F47" i="2" s="1"/>
  <c r="B46" i="2"/>
  <c r="E46" i="2" s="1"/>
  <c r="F46" i="2" s="1"/>
  <c r="H46" i="2" s="1"/>
  <c r="B45" i="2"/>
  <c r="E45" i="2" s="1"/>
  <c r="F45" i="2" s="1"/>
  <c r="H45" i="2" s="1"/>
  <c r="B44" i="2"/>
  <c r="E44" i="2" s="1"/>
  <c r="F44" i="2" s="1"/>
  <c r="H44" i="2" s="1"/>
  <c r="B43" i="2"/>
  <c r="E43" i="2" s="1"/>
  <c r="F43" i="2" s="1"/>
  <c r="B42" i="2"/>
  <c r="E42" i="2" s="1"/>
  <c r="F42" i="2" s="1"/>
  <c r="H42" i="2" s="1"/>
  <c r="B41" i="2"/>
  <c r="E41" i="2" s="1"/>
  <c r="F41" i="2" s="1"/>
  <c r="H41" i="2" s="1"/>
  <c r="B40" i="2"/>
  <c r="E40" i="2" s="1"/>
  <c r="F40" i="2" s="1"/>
  <c r="H40" i="2" s="1"/>
  <c r="B39" i="2"/>
  <c r="E39" i="2" s="1"/>
  <c r="F39" i="2" s="1"/>
  <c r="B38" i="2"/>
  <c r="E38" i="2" s="1"/>
  <c r="F38" i="2" s="1"/>
  <c r="H38" i="2" s="1"/>
  <c r="B37" i="2"/>
  <c r="E37" i="2" s="1"/>
  <c r="F37" i="2" s="1"/>
  <c r="H37" i="2" s="1"/>
  <c r="B36" i="2"/>
  <c r="E36" i="2" s="1"/>
  <c r="F36" i="2" s="1"/>
  <c r="H36" i="2" s="1"/>
  <c r="B35" i="2"/>
  <c r="E35" i="2" s="1"/>
  <c r="F35" i="2" s="1"/>
  <c r="B34" i="2"/>
  <c r="E34" i="2" s="1"/>
  <c r="F34" i="2" s="1"/>
  <c r="H34" i="2" s="1"/>
  <c r="B33" i="2"/>
  <c r="E33" i="2" s="1"/>
  <c r="F33" i="2" s="1"/>
  <c r="H33" i="2" s="1"/>
  <c r="B32" i="2"/>
  <c r="E32" i="2" s="1"/>
  <c r="F32" i="2" s="1"/>
  <c r="H32" i="2" s="1"/>
  <c r="B31" i="2"/>
  <c r="E31" i="2" s="1"/>
  <c r="F31" i="2" s="1"/>
  <c r="B30" i="2"/>
  <c r="E30" i="2" s="1"/>
  <c r="F30" i="2" s="1"/>
  <c r="H30" i="2" s="1"/>
  <c r="B29" i="2"/>
  <c r="E29" i="2" s="1"/>
  <c r="F29" i="2" s="1"/>
  <c r="H29" i="2" s="1"/>
  <c r="B28" i="2"/>
  <c r="E28" i="2" s="1"/>
  <c r="F28" i="2" s="1"/>
  <c r="H28" i="2" s="1"/>
  <c r="B27" i="2"/>
  <c r="E27" i="2" s="1"/>
  <c r="F27" i="2" s="1"/>
  <c r="B26" i="2"/>
  <c r="E26" i="2" s="1"/>
  <c r="F26" i="2" s="1"/>
  <c r="H26" i="2" s="1"/>
  <c r="B25" i="2"/>
  <c r="E25" i="2" s="1"/>
  <c r="F25" i="2" s="1"/>
  <c r="H25" i="2" s="1"/>
  <c r="B24" i="2"/>
  <c r="E24" i="2" s="1"/>
  <c r="F24" i="2" s="1"/>
  <c r="H24" i="2" s="1"/>
  <c r="B23" i="2"/>
  <c r="E23" i="2" s="1"/>
  <c r="F23" i="2" s="1"/>
  <c r="B22" i="2"/>
  <c r="E22" i="2" s="1"/>
  <c r="F22" i="2" s="1"/>
  <c r="H22" i="2" s="1"/>
  <c r="B21" i="2"/>
  <c r="E21" i="2" s="1"/>
  <c r="F21" i="2" s="1"/>
  <c r="H21" i="2" s="1"/>
  <c r="B20" i="2"/>
  <c r="E20" i="2" s="1"/>
  <c r="F20" i="2" s="1"/>
  <c r="H20" i="2" s="1"/>
  <c r="B19" i="2"/>
  <c r="E19" i="2" s="1"/>
  <c r="F19" i="2" s="1"/>
  <c r="B18" i="2"/>
  <c r="E18" i="2" s="1"/>
  <c r="F18" i="2" s="1"/>
  <c r="H18" i="2" s="1"/>
  <c r="B17" i="2"/>
  <c r="E17" i="2" s="1"/>
  <c r="F17" i="2" s="1"/>
  <c r="H17" i="2" s="1"/>
  <c r="B16" i="2"/>
  <c r="E16" i="2" s="1"/>
  <c r="F16" i="2" s="1"/>
  <c r="H16" i="2" s="1"/>
  <c r="B15" i="2"/>
  <c r="E15" i="2" s="1"/>
  <c r="F15" i="2" s="1"/>
  <c r="B14" i="2"/>
  <c r="E14" i="2" s="1"/>
  <c r="F14" i="2" s="1"/>
  <c r="H14" i="2" s="1"/>
  <c r="B13" i="2"/>
  <c r="E13" i="2" s="1"/>
  <c r="F13" i="2" s="1"/>
  <c r="H13" i="2" s="1"/>
  <c r="B12" i="2"/>
  <c r="E12" i="2" s="1"/>
  <c r="F12" i="2" s="1"/>
  <c r="H12" i="2" s="1"/>
  <c r="B11" i="2"/>
  <c r="E11" i="2" s="1"/>
  <c r="F11" i="2" s="1"/>
  <c r="B10" i="2"/>
  <c r="E10" i="2" s="1"/>
  <c r="F10" i="2" s="1"/>
  <c r="H10" i="2" s="1"/>
  <c r="B9" i="2"/>
  <c r="E9" i="2" s="1"/>
  <c r="F9" i="2" s="1"/>
  <c r="H9" i="2" s="1"/>
  <c r="B8" i="2"/>
  <c r="E8" i="2" s="1"/>
  <c r="F8" i="2" s="1"/>
  <c r="H8" i="2" s="1"/>
  <c r="D7" i="2"/>
  <c r="B6" i="4" s="1"/>
  <c r="B7" i="2"/>
  <c r="B83" i="1"/>
  <c r="B75" i="1"/>
  <c r="B74" i="1"/>
  <c r="B73" i="1"/>
  <c r="B72" i="1"/>
  <c r="B71" i="1"/>
  <c r="B70" i="1"/>
  <c r="B69" i="1"/>
  <c r="B68" i="1"/>
  <c r="B67" i="1"/>
  <c r="B66" i="1"/>
  <c r="B59" i="1"/>
  <c r="B16" i="1"/>
  <c r="B14" i="1"/>
  <c r="C100" i="3" l="1"/>
  <c r="I99" i="3"/>
  <c r="C99" i="3"/>
  <c r="M98" i="3"/>
  <c r="I98" i="3"/>
  <c r="H98" i="3"/>
  <c r="J98" i="3" s="1"/>
  <c r="I107" i="3"/>
  <c r="H106" i="3"/>
  <c r="I104" i="3"/>
  <c r="H102" i="3"/>
  <c r="I101" i="3"/>
  <c r="C101" i="3"/>
  <c r="C107" i="3"/>
  <c r="M105" i="3"/>
  <c r="C105" i="3"/>
  <c r="M104" i="3"/>
  <c r="H104" i="3"/>
  <c r="J104" i="3" s="1"/>
  <c r="I103" i="3"/>
  <c r="H103" i="3"/>
  <c r="J103" i="3" s="1"/>
  <c r="M102" i="3"/>
  <c r="C102" i="3"/>
  <c r="M101" i="3"/>
  <c r="H101" i="3"/>
  <c r="J101" i="3" s="1"/>
  <c r="M100" i="3"/>
  <c r="I100" i="3"/>
  <c r="C98" i="3"/>
  <c r="M97" i="3"/>
  <c r="H107" i="3"/>
  <c r="J107" i="3" s="1"/>
  <c r="M106" i="3"/>
  <c r="I106" i="3"/>
  <c r="C106" i="3"/>
  <c r="I105" i="3"/>
  <c r="H105" i="3"/>
  <c r="J105" i="3" s="1"/>
  <c r="C103" i="3"/>
  <c r="I102" i="3"/>
  <c r="H100" i="3"/>
  <c r="J100" i="3" s="1"/>
  <c r="M99" i="3"/>
  <c r="H99" i="3"/>
  <c r="J99" i="3" s="1"/>
  <c r="I97" i="3"/>
  <c r="M107" i="3"/>
  <c r="C104" i="3"/>
  <c r="M103" i="3"/>
  <c r="H97" i="3"/>
  <c r="J97" i="3" s="1"/>
  <c r="C97" i="3"/>
  <c r="M96" i="3"/>
  <c r="I96" i="3"/>
  <c r="H96" i="3"/>
  <c r="J96" i="3" s="1"/>
  <c r="C96" i="3"/>
  <c r="M95" i="3"/>
  <c r="I95" i="3"/>
  <c r="H95" i="3"/>
  <c r="J95" i="3" s="1"/>
  <c r="C95" i="3"/>
  <c r="M94" i="3"/>
  <c r="I94" i="3"/>
  <c r="H94" i="3"/>
  <c r="J94" i="3" s="1"/>
  <c r="C94" i="3"/>
  <c r="M93" i="3"/>
  <c r="I93" i="3"/>
  <c r="H93" i="3"/>
  <c r="J93" i="3" s="1"/>
  <c r="C93" i="3"/>
  <c r="M92" i="3"/>
  <c r="G9" i="6"/>
  <c r="G8" i="3"/>
  <c r="H103" i="2"/>
  <c r="H91" i="2"/>
  <c r="H87" i="2"/>
  <c r="H83" i="2"/>
  <c r="H79" i="2"/>
  <c r="H75" i="2"/>
  <c r="H71" i="2"/>
  <c r="H67" i="2"/>
  <c r="H63" i="2"/>
  <c r="H59" i="2"/>
  <c r="H55" i="2"/>
  <c r="H51" i="2"/>
  <c r="H47" i="2"/>
  <c r="H43" i="2"/>
  <c r="H39" i="2"/>
  <c r="H35" i="2"/>
  <c r="H31" i="2"/>
  <c r="H27" i="2"/>
  <c r="H23" i="2"/>
  <c r="H19" i="2"/>
  <c r="H15" i="2"/>
  <c r="H11" i="2"/>
  <c r="D7" i="5"/>
  <c r="G7" i="5" s="1"/>
  <c r="G7" i="2"/>
  <c r="E7" i="2"/>
  <c r="F7" i="2" s="1"/>
  <c r="O63" i="2"/>
  <c r="O61" i="2"/>
  <c r="O60" i="2"/>
  <c r="O59" i="2"/>
  <c r="O58" i="2"/>
  <c r="O57" i="2"/>
  <c r="P57" i="2" s="1"/>
  <c r="O56" i="2"/>
  <c r="P56" i="2" s="1"/>
  <c r="O55" i="2"/>
  <c r="O54" i="2"/>
  <c r="P54" i="2" s="1"/>
  <c r="O53" i="2"/>
  <c r="P53" i="2" s="1"/>
  <c r="O52" i="2"/>
  <c r="P52" i="2" s="1"/>
  <c r="O51" i="2"/>
  <c r="O84" i="2"/>
  <c r="O49" i="2"/>
  <c r="P49" i="2" s="1"/>
  <c r="O93" i="2"/>
  <c r="O44" i="2"/>
  <c r="P44" i="2" s="1"/>
  <c r="O92" i="2"/>
  <c r="O45" i="2"/>
  <c r="P45" i="2" s="1"/>
  <c r="O40" i="2"/>
  <c r="P40" i="2" s="1"/>
  <c r="O91" i="2"/>
  <c r="O38" i="2"/>
  <c r="P38" i="2" s="1"/>
  <c r="O37" i="2"/>
  <c r="P37" i="2" s="1"/>
  <c r="O35" i="2"/>
  <c r="O90" i="2"/>
  <c r="O99" i="2"/>
  <c r="O46" i="2"/>
  <c r="P46" i="2" s="1"/>
  <c r="O89" i="2"/>
  <c r="O88" i="2"/>
  <c r="O41" i="2"/>
  <c r="P41" i="2" s="1"/>
  <c r="O47" i="2"/>
  <c r="O39" i="2"/>
  <c r="O48" i="2"/>
  <c r="P48" i="2" s="1"/>
  <c r="O50" i="2"/>
  <c r="P50" i="2" s="1"/>
  <c r="O43" i="2"/>
  <c r="O62" i="2"/>
  <c r="O32" i="2"/>
  <c r="P32" i="2" s="1"/>
  <c r="O87" i="2"/>
  <c r="O31" i="2"/>
  <c r="O106" i="2"/>
  <c r="O30" i="2"/>
  <c r="P30" i="2" s="1"/>
  <c r="O86" i="2"/>
  <c r="O29" i="2"/>
  <c r="P29" i="2" s="1"/>
  <c r="O85" i="2"/>
  <c r="O28" i="2"/>
  <c r="P28" i="2" s="1"/>
  <c r="O105" i="2"/>
  <c r="O27" i="2"/>
  <c r="O83" i="2"/>
  <c r="O26" i="2"/>
  <c r="P26" i="2" s="1"/>
  <c r="O104" i="2"/>
  <c r="O25" i="2"/>
  <c r="P25" i="2" s="1"/>
  <c r="O82" i="2"/>
  <c r="O24" i="2"/>
  <c r="P24" i="2" s="1"/>
  <c r="O81" i="2"/>
  <c r="O23" i="2"/>
  <c r="O103" i="2"/>
  <c r="O22" i="2"/>
  <c r="P22" i="2" s="1"/>
  <c r="O80" i="2"/>
  <c r="O21" i="2"/>
  <c r="P21" i="2" s="1"/>
  <c r="O79" i="2"/>
  <c r="O20" i="2"/>
  <c r="P20" i="2" s="1"/>
  <c r="O102" i="2"/>
  <c r="O19" i="2"/>
  <c r="O78" i="2"/>
  <c r="O18" i="2"/>
  <c r="P18" i="2" s="1"/>
  <c r="O77" i="2"/>
  <c r="O17" i="2"/>
  <c r="P17" i="2" s="1"/>
  <c r="O101" i="2"/>
  <c r="O16" i="2"/>
  <c r="P16" i="2" s="1"/>
  <c r="O76" i="2"/>
  <c r="O15" i="2"/>
  <c r="O75" i="2"/>
  <c r="O14" i="2"/>
  <c r="P14" i="2" s="1"/>
  <c r="O100" i="2"/>
  <c r="O13" i="2"/>
  <c r="P13" i="2" s="1"/>
  <c r="O74" i="2"/>
  <c r="O12" i="2"/>
  <c r="P12" i="2" s="1"/>
  <c r="O73" i="2"/>
  <c r="O11" i="2"/>
  <c r="O72" i="2"/>
  <c r="O10" i="2"/>
  <c r="P10" i="2" s="1"/>
  <c r="O71" i="2"/>
  <c r="O9" i="2"/>
  <c r="P9" i="2" s="1"/>
  <c r="O70" i="2"/>
  <c r="O8" i="2"/>
  <c r="O69" i="2"/>
  <c r="O7" i="2"/>
  <c r="O68" i="2"/>
  <c r="O67" i="2"/>
  <c r="O66" i="2"/>
  <c r="O98" i="2"/>
  <c r="O42" i="2"/>
  <c r="P42" i="2" s="1"/>
  <c r="O97" i="2"/>
  <c r="O36" i="2"/>
  <c r="P36" i="2" s="1"/>
  <c r="O96" i="2"/>
  <c r="O65" i="2"/>
  <c r="O95" i="2"/>
  <c r="O64" i="2"/>
  <c r="O94" i="2"/>
  <c r="O33" i="2"/>
  <c r="P33" i="2" s="1"/>
  <c r="O34" i="2"/>
  <c r="P34" i="2" s="1"/>
  <c r="C63" i="6"/>
  <c r="M62" i="6"/>
  <c r="I62" i="6"/>
  <c r="H62" i="6"/>
  <c r="J62" i="6" s="1"/>
  <c r="C62" i="6"/>
  <c r="M61" i="6"/>
  <c r="I61" i="6"/>
  <c r="H61" i="6"/>
  <c r="J61" i="6" s="1"/>
  <c r="C61" i="6"/>
  <c r="M60" i="6"/>
  <c r="I60" i="6"/>
  <c r="H60" i="6"/>
  <c r="J60" i="6" s="1"/>
  <c r="C60" i="6"/>
  <c r="C59" i="6"/>
  <c r="C58" i="6"/>
  <c r="C57" i="6"/>
  <c r="C56" i="6"/>
  <c r="C55" i="6"/>
  <c r="C54" i="6"/>
  <c r="C53" i="6"/>
  <c r="C52" i="6"/>
  <c r="C51" i="6"/>
  <c r="C50" i="6"/>
  <c r="C49" i="6"/>
  <c r="C48" i="6"/>
  <c r="C47" i="6"/>
  <c r="C46" i="6"/>
  <c r="C45" i="6"/>
  <c r="C44" i="6"/>
  <c r="C43" i="6"/>
  <c r="C42" i="6"/>
  <c r="C41" i="6"/>
  <c r="C40" i="6"/>
  <c r="C39" i="6"/>
  <c r="C38" i="6"/>
  <c r="C37" i="6"/>
  <c r="C36" i="6"/>
  <c r="C14" i="6"/>
  <c r="C13" i="6"/>
  <c r="C12" i="6"/>
  <c r="C11" i="6"/>
  <c r="M10" i="6"/>
  <c r="H10" i="6"/>
  <c r="C10" i="6"/>
  <c r="M9" i="6"/>
  <c r="H9" i="6"/>
  <c r="C9" i="6"/>
  <c r="K106" i="5"/>
  <c r="C106" i="5"/>
  <c r="C105" i="5"/>
  <c r="C104" i="5"/>
  <c r="K103" i="5"/>
  <c r="C103" i="5"/>
  <c r="K102" i="5"/>
  <c r="C102" i="5"/>
  <c r="K101" i="5"/>
  <c r="C100" i="5"/>
  <c r="K99" i="5"/>
  <c r="K98" i="5"/>
  <c r="C98" i="5"/>
  <c r="C97" i="5"/>
  <c r="K96" i="5"/>
  <c r="C96" i="5"/>
  <c r="K95" i="5"/>
  <c r="C95" i="5"/>
  <c r="K93" i="5"/>
  <c r="C93" i="5"/>
  <c r="K92" i="5"/>
  <c r="C92" i="5"/>
  <c r="K91" i="5"/>
  <c r="C91" i="5"/>
  <c r="K90" i="5"/>
  <c r="C90" i="5"/>
  <c r="K89" i="5"/>
  <c r="C89" i="5"/>
  <c r="K88" i="5"/>
  <c r="C88" i="5"/>
  <c r="K87" i="5"/>
  <c r="C87" i="5"/>
  <c r="K86" i="5"/>
  <c r="K85" i="5"/>
  <c r="C85" i="5"/>
  <c r="K84" i="5"/>
  <c r="K83" i="5"/>
  <c r="K82" i="5"/>
  <c r="K81" i="5"/>
  <c r="C81" i="5"/>
  <c r="K80" i="5"/>
  <c r="C80" i="5"/>
  <c r="K79" i="5"/>
  <c r="C79" i="5"/>
  <c r="K78" i="5"/>
  <c r="C78" i="5"/>
  <c r="K77" i="5"/>
  <c r="C77" i="5"/>
  <c r="K76" i="5"/>
  <c r="C76" i="5"/>
  <c r="K75" i="5"/>
  <c r="C75" i="5"/>
  <c r="K74" i="5"/>
  <c r="C74" i="5"/>
  <c r="K70" i="5"/>
  <c r="C70" i="5"/>
  <c r="K69" i="5"/>
  <c r="K68" i="5"/>
  <c r="C68" i="5"/>
  <c r="K67" i="5"/>
  <c r="K66" i="5"/>
  <c r="C66" i="5"/>
  <c r="K64" i="5"/>
  <c r="K63" i="5"/>
  <c r="C63" i="5"/>
  <c r="K61" i="5"/>
  <c r="C60" i="5"/>
  <c r="K59" i="5"/>
  <c r="C59" i="5"/>
  <c r="K58" i="5"/>
  <c r="C58" i="5"/>
  <c r="C56" i="5"/>
  <c r="C54" i="5"/>
  <c r="C52" i="5"/>
  <c r="C50" i="5"/>
  <c r="C49" i="5"/>
  <c r="C46" i="5"/>
  <c r="C44" i="5"/>
  <c r="C43" i="5"/>
  <c r="C40" i="5"/>
  <c r="C39" i="5"/>
  <c r="C33" i="5"/>
  <c r="C29" i="5"/>
  <c r="C28" i="5"/>
  <c r="C27" i="5"/>
  <c r="C23" i="5"/>
  <c r="C35" i="6"/>
  <c r="C34" i="6"/>
  <c r="C33" i="6"/>
  <c r="C32" i="6"/>
  <c r="C31" i="6"/>
  <c r="C30" i="6"/>
  <c r="C29" i="6"/>
  <c r="C28" i="6"/>
  <c r="C27" i="6"/>
  <c r="C26" i="6"/>
  <c r="C25" i="6"/>
  <c r="C24" i="6"/>
  <c r="C23" i="6"/>
  <c r="C22" i="6"/>
  <c r="C21" i="6"/>
  <c r="C20" i="6"/>
  <c r="C19" i="6"/>
  <c r="C18" i="6"/>
  <c r="C17" i="6"/>
  <c r="C16" i="6"/>
  <c r="C15" i="6"/>
  <c r="K105" i="5"/>
  <c r="K104" i="5"/>
  <c r="C101" i="5"/>
  <c r="K100" i="5"/>
  <c r="C99" i="5"/>
  <c r="K97" i="5"/>
  <c r="K94" i="5"/>
  <c r="C94" i="5"/>
  <c r="C86" i="5"/>
  <c r="C84" i="5"/>
  <c r="C83" i="5"/>
  <c r="C82" i="5"/>
  <c r="K73" i="5"/>
  <c r="C73" i="5"/>
  <c r="K72" i="5"/>
  <c r="C72" i="5"/>
  <c r="K71" i="5"/>
  <c r="C71" i="5"/>
  <c r="C69" i="5"/>
  <c r="C67" i="5"/>
  <c r="K65" i="5"/>
  <c r="C65" i="5"/>
  <c r="C64" i="5"/>
  <c r="K62" i="5"/>
  <c r="C62" i="5"/>
  <c r="C61" i="5"/>
  <c r="K60" i="5"/>
  <c r="C55" i="5"/>
  <c r="C48" i="5"/>
  <c r="C47" i="5"/>
  <c r="C45" i="5"/>
  <c r="C42" i="5"/>
  <c r="C38" i="5"/>
  <c r="C30" i="5"/>
  <c r="C26" i="5"/>
  <c r="C22" i="5"/>
  <c r="C16" i="5"/>
  <c r="C15" i="5"/>
  <c r="C14" i="5"/>
  <c r="C13" i="5"/>
  <c r="C12" i="5"/>
  <c r="C11" i="5"/>
  <c r="C10" i="5"/>
  <c r="C9" i="5"/>
  <c r="K8" i="5"/>
  <c r="C8" i="5"/>
  <c r="K7" i="5"/>
  <c r="C7" i="5"/>
  <c r="I92" i="3"/>
  <c r="H92" i="3"/>
  <c r="J92" i="3" s="1"/>
  <c r="C92" i="3"/>
  <c r="M91" i="3"/>
  <c r="I91" i="3"/>
  <c r="H91" i="3"/>
  <c r="J91" i="3" s="1"/>
  <c r="C91" i="3"/>
  <c r="M90" i="3"/>
  <c r="I90" i="3"/>
  <c r="H90" i="3"/>
  <c r="J90" i="3" s="1"/>
  <c r="C90" i="3"/>
  <c r="M89" i="3"/>
  <c r="I89" i="3"/>
  <c r="H89" i="3"/>
  <c r="J89" i="3" s="1"/>
  <c r="C89" i="3"/>
  <c r="M88" i="3"/>
  <c r="I88" i="3"/>
  <c r="H88" i="3"/>
  <c r="J88" i="3" s="1"/>
  <c r="C88" i="3"/>
  <c r="M87" i="3"/>
  <c r="I87" i="3"/>
  <c r="H87" i="3"/>
  <c r="J87" i="3" s="1"/>
  <c r="C87" i="3"/>
  <c r="M86" i="3"/>
  <c r="I86" i="3"/>
  <c r="H86" i="3"/>
  <c r="J86" i="3" s="1"/>
  <c r="C86" i="3"/>
  <c r="M85" i="3"/>
  <c r="I85" i="3"/>
  <c r="H85" i="3"/>
  <c r="J85" i="3" s="1"/>
  <c r="C85" i="3"/>
  <c r="M84" i="3"/>
  <c r="I84" i="3"/>
  <c r="H84" i="3"/>
  <c r="J84" i="3" s="1"/>
  <c r="C84" i="3"/>
  <c r="M83" i="3"/>
  <c r="I83" i="3"/>
  <c r="H83" i="3"/>
  <c r="J83" i="3" s="1"/>
  <c r="C83" i="3"/>
  <c r="M82" i="3"/>
  <c r="I82" i="3"/>
  <c r="H82" i="3"/>
  <c r="J82" i="3" s="1"/>
  <c r="C82" i="3"/>
  <c r="M81" i="3"/>
  <c r="I81" i="3"/>
  <c r="H81" i="3"/>
  <c r="J81" i="3" s="1"/>
  <c r="C81" i="3"/>
  <c r="M80" i="3"/>
  <c r="I80" i="3"/>
  <c r="H80" i="3"/>
  <c r="C80" i="3"/>
  <c r="M79" i="3"/>
  <c r="I79" i="3"/>
  <c r="H79" i="3"/>
  <c r="J79" i="3" s="1"/>
  <c r="C79" i="3"/>
  <c r="M78" i="3"/>
  <c r="I78" i="3"/>
  <c r="H78" i="3"/>
  <c r="J78" i="3" s="1"/>
  <c r="C78" i="3"/>
  <c r="M77" i="3"/>
  <c r="I77" i="3"/>
  <c r="H77" i="3"/>
  <c r="J77" i="3" s="1"/>
  <c r="C77" i="3"/>
  <c r="M76" i="3"/>
  <c r="I76" i="3"/>
  <c r="H76" i="3"/>
  <c r="J76" i="3" s="1"/>
  <c r="C76" i="3"/>
  <c r="M75" i="3"/>
  <c r="I75" i="3"/>
  <c r="H75" i="3"/>
  <c r="J75" i="3" s="1"/>
  <c r="C75" i="3"/>
  <c r="M74" i="3"/>
  <c r="I74" i="3"/>
  <c r="H74" i="3"/>
  <c r="J74" i="3" s="1"/>
  <c r="C74" i="3"/>
  <c r="M73" i="3"/>
  <c r="I73" i="3"/>
  <c r="H73" i="3"/>
  <c r="J73" i="3" s="1"/>
  <c r="C73" i="3"/>
  <c r="M72" i="3"/>
  <c r="I72" i="3"/>
  <c r="H72" i="3"/>
  <c r="J72" i="3" s="1"/>
  <c r="C72" i="3"/>
  <c r="M71" i="3"/>
  <c r="I71" i="3"/>
  <c r="H71" i="3"/>
  <c r="J71" i="3" s="1"/>
  <c r="C71" i="3"/>
  <c r="M70" i="3"/>
  <c r="I70" i="3"/>
  <c r="H70" i="3"/>
  <c r="J70" i="3" s="1"/>
  <c r="C70" i="3"/>
  <c r="M69" i="3"/>
  <c r="I69" i="3"/>
  <c r="H69" i="3"/>
  <c r="J69" i="3" s="1"/>
  <c r="C69" i="3"/>
  <c r="M68" i="3"/>
  <c r="I68" i="3"/>
  <c r="H68" i="3"/>
  <c r="J68" i="3" s="1"/>
  <c r="C68" i="3"/>
  <c r="M67" i="3"/>
  <c r="I67" i="3"/>
  <c r="H67" i="3"/>
  <c r="J67" i="3" s="1"/>
  <c r="C67" i="3"/>
  <c r="M66" i="3"/>
  <c r="I66" i="3"/>
  <c r="H66" i="3"/>
  <c r="J66" i="3" s="1"/>
  <c r="C66" i="3"/>
  <c r="M65" i="3"/>
  <c r="M108" i="6"/>
  <c r="H65" i="3"/>
  <c r="C65" i="3"/>
  <c r="M64" i="3"/>
  <c r="I64" i="3"/>
  <c r="H64" i="3"/>
  <c r="J64" i="3" s="1"/>
  <c r="I108" i="6"/>
  <c r="C64" i="3"/>
  <c r="M63" i="3"/>
  <c r="I63" i="3"/>
  <c r="H63" i="3"/>
  <c r="J63" i="3" s="1"/>
  <c r="H108" i="6"/>
  <c r="J108" i="6" s="1"/>
  <c r="C63" i="3"/>
  <c r="M62" i="3"/>
  <c r="I62" i="3"/>
  <c r="H62" i="3"/>
  <c r="J62" i="3" s="1"/>
  <c r="C108" i="6"/>
  <c r="C62" i="3"/>
  <c r="M61" i="3"/>
  <c r="I61" i="3"/>
  <c r="H61" i="3"/>
  <c r="J61" i="3" s="1"/>
  <c r="M107" i="6"/>
  <c r="C61" i="3"/>
  <c r="M60" i="3"/>
  <c r="I60" i="3"/>
  <c r="H60" i="3"/>
  <c r="J60" i="3" s="1"/>
  <c r="C60" i="3"/>
  <c r="M59" i="3"/>
  <c r="I59" i="3"/>
  <c r="H59" i="3"/>
  <c r="J59" i="3" s="1"/>
  <c r="I107" i="6"/>
  <c r="C59" i="3"/>
  <c r="H107" i="6"/>
  <c r="J107" i="6" s="1"/>
  <c r="C58" i="3"/>
  <c r="C107" i="6"/>
  <c r="C57" i="3"/>
  <c r="M106" i="6"/>
  <c r="C56" i="3"/>
  <c r="I106" i="6"/>
  <c r="H106" i="6"/>
  <c r="J106" i="6" s="1"/>
  <c r="C106" i="6"/>
  <c r="M105" i="6"/>
  <c r="C48" i="2"/>
  <c r="I105" i="6"/>
  <c r="C47" i="2"/>
  <c r="H105" i="6"/>
  <c r="J105" i="6" s="1"/>
  <c r="C105" i="6"/>
  <c r="M104" i="6"/>
  <c r="C44" i="2"/>
  <c r="I104" i="6"/>
  <c r="C43" i="2"/>
  <c r="H104" i="6"/>
  <c r="J104" i="6" s="1"/>
  <c r="C37" i="2"/>
  <c r="C104" i="6"/>
  <c r="M103" i="6"/>
  <c r="I103" i="6"/>
  <c r="H103" i="6"/>
  <c r="J103" i="6" s="1"/>
  <c r="C103" i="6"/>
  <c r="M102" i="6"/>
  <c r="I102" i="6"/>
  <c r="H102" i="6"/>
  <c r="J102" i="6" s="1"/>
  <c r="C102" i="6"/>
  <c r="C55" i="3"/>
  <c r="M101" i="6"/>
  <c r="C54" i="3"/>
  <c r="C53" i="3"/>
  <c r="I101" i="6"/>
  <c r="C52" i="3"/>
  <c r="H101" i="6"/>
  <c r="J101" i="6" s="1"/>
  <c r="C51" i="3"/>
  <c r="C101" i="6"/>
  <c r="C50" i="3"/>
  <c r="M100" i="6"/>
  <c r="C49" i="3"/>
  <c r="C48" i="3"/>
  <c r="I100" i="6"/>
  <c r="C47" i="3"/>
  <c r="H100" i="6"/>
  <c r="J100" i="6" s="1"/>
  <c r="C46" i="3"/>
  <c r="C100" i="6"/>
  <c r="C45" i="3"/>
  <c r="M99" i="6"/>
  <c r="C44" i="3"/>
  <c r="C43" i="3"/>
  <c r="I99" i="6"/>
  <c r="C42" i="3"/>
  <c r="H99" i="6"/>
  <c r="J99" i="6" s="1"/>
  <c r="C41" i="3"/>
  <c r="C99" i="6"/>
  <c r="C40" i="3"/>
  <c r="M98" i="6"/>
  <c r="C39" i="3"/>
  <c r="C38" i="3"/>
  <c r="I98" i="6"/>
  <c r="C37" i="3"/>
  <c r="H98" i="6"/>
  <c r="J98" i="6" s="1"/>
  <c r="C36" i="3"/>
  <c r="C98" i="6"/>
  <c r="C35" i="3"/>
  <c r="M97" i="6"/>
  <c r="C34" i="3"/>
  <c r="C33" i="3"/>
  <c r="I97" i="6"/>
  <c r="C32" i="3"/>
  <c r="H97" i="6"/>
  <c r="J97" i="6" s="1"/>
  <c r="C31" i="3"/>
  <c r="C97" i="6"/>
  <c r="C30" i="3"/>
  <c r="M96" i="6"/>
  <c r="C29" i="3"/>
  <c r="C28" i="3"/>
  <c r="I96" i="6"/>
  <c r="C27" i="3"/>
  <c r="H96" i="6"/>
  <c r="C26" i="3"/>
  <c r="C96" i="6"/>
  <c r="C25" i="3"/>
  <c r="M95" i="6"/>
  <c r="C24" i="3"/>
  <c r="C23" i="3"/>
  <c r="I95" i="6"/>
  <c r="C22" i="3"/>
  <c r="H95" i="6"/>
  <c r="J95" i="6" s="1"/>
  <c r="C21" i="3"/>
  <c r="C95" i="6"/>
  <c r="C20" i="3"/>
  <c r="M94" i="6"/>
  <c r="C18" i="3"/>
  <c r="I94" i="6"/>
  <c r="C17" i="3"/>
  <c r="H94" i="6"/>
  <c r="J94" i="6" s="1"/>
  <c r="C16" i="3"/>
  <c r="C94" i="6"/>
  <c r="C15" i="3"/>
  <c r="M93" i="6"/>
  <c r="C14" i="3"/>
  <c r="C13" i="3"/>
  <c r="I93" i="6"/>
  <c r="C12" i="3"/>
  <c r="H93" i="6"/>
  <c r="J93" i="6" s="1"/>
  <c r="C11" i="3"/>
  <c r="C93" i="6"/>
  <c r="C10" i="3"/>
  <c r="M9" i="3"/>
  <c r="H9" i="3"/>
  <c r="M92" i="6"/>
  <c r="C9" i="3"/>
  <c r="M8" i="3"/>
  <c r="H8" i="3"/>
  <c r="I92" i="6"/>
  <c r="H92" i="6"/>
  <c r="J92" i="6" s="1"/>
  <c r="C8" i="3"/>
  <c r="P106" i="2"/>
  <c r="C92" i="6"/>
  <c r="N106" i="2"/>
  <c r="J106" i="2"/>
  <c r="I106" i="2"/>
  <c r="M91" i="6"/>
  <c r="C106" i="2"/>
  <c r="P105" i="2"/>
  <c r="N105" i="2"/>
  <c r="J105" i="2"/>
  <c r="I105" i="2"/>
  <c r="I91" i="6"/>
  <c r="C105" i="2"/>
  <c r="P104" i="2"/>
  <c r="H91" i="6"/>
  <c r="J91" i="6" s="1"/>
  <c r="N104" i="2"/>
  <c r="J104" i="2"/>
  <c r="I104" i="2"/>
  <c r="C91" i="6"/>
  <c r="C104" i="2"/>
  <c r="P103" i="2"/>
  <c r="M90" i="6"/>
  <c r="N103" i="2"/>
  <c r="J103" i="2"/>
  <c r="I103" i="2"/>
  <c r="C103" i="2"/>
  <c r="P102" i="2"/>
  <c r="I90" i="6"/>
  <c r="N102" i="2"/>
  <c r="J102" i="2"/>
  <c r="I102" i="2"/>
  <c r="H90" i="6"/>
  <c r="J90" i="6" s="1"/>
  <c r="C102" i="2"/>
  <c r="P101" i="2"/>
  <c r="C90" i="6"/>
  <c r="N101" i="2"/>
  <c r="J101" i="2"/>
  <c r="I101" i="2"/>
  <c r="M89" i="6"/>
  <c r="C101" i="2"/>
  <c r="P100" i="2"/>
  <c r="N100" i="2"/>
  <c r="J100" i="2"/>
  <c r="I100" i="2"/>
  <c r="I89" i="6"/>
  <c r="C100" i="2"/>
  <c r="P99" i="2"/>
  <c r="H89" i="6"/>
  <c r="J89" i="6" s="1"/>
  <c r="N99" i="2"/>
  <c r="J99" i="2"/>
  <c r="I99" i="2"/>
  <c r="C89" i="6"/>
  <c r="C99" i="2"/>
  <c r="P98" i="2"/>
  <c r="M88" i="6"/>
  <c r="N98" i="2"/>
  <c r="J98" i="2"/>
  <c r="I98" i="2"/>
  <c r="C98" i="2"/>
  <c r="P97" i="2"/>
  <c r="I88" i="6"/>
  <c r="N97" i="2"/>
  <c r="J97" i="2"/>
  <c r="I97" i="2"/>
  <c r="H88" i="6"/>
  <c r="J88" i="6" s="1"/>
  <c r="C97" i="2"/>
  <c r="P96" i="2"/>
  <c r="C88" i="6"/>
  <c r="N96" i="2"/>
  <c r="J96" i="2"/>
  <c r="I96" i="2"/>
  <c r="M87" i="6"/>
  <c r="C96" i="2"/>
  <c r="P95" i="2"/>
  <c r="N95" i="2"/>
  <c r="J95" i="2"/>
  <c r="I95" i="2"/>
  <c r="I87" i="6"/>
  <c r="C95" i="2"/>
  <c r="P94" i="2"/>
  <c r="H87" i="6"/>
  <c r="J87" i="6" s="1"/>
  <c r="N94" i="2"/>
  <c r="J94" i="2"/>
  <c r="I94" i="2"/>
  <c r="C87" i="6"/>
  <c r="C94" i="2"/>
  <c r="P93" i="2"/>
  <c r="M86" i="6"/>
  <c r="N93" i="2"/>
  <c r="J93" i="2"/>
  <c r="I93" i="2"/>
  <c r="C93" i="2"/>
  <c r="P92" i="2"/>
  <c r="I86" i="6"/>
  <c r="N92" i="2"/>
  <c r="J92" i="2"/>
  <c r="I92" i="2"/>
  <c r="H86" i="6"/>
  <c r="J86" i="6" s="1"/>
  <c r="C92" i="2"/>
  <c r="P91" i="2"/>
  <c r="C86" i="6"/>
  <c r="N91" i="2"/>
  <c r="J91" i="2"/>
  <c r="I91" i="2"/>
  <c r="M85" i="6"/>
  <c r="C91" i="2"/>
  <c r="P90" i="2"/>
  <c r="N90" i="2"/>
  <c r="J90" i="2"/>
  <c r="I90" i="2"/>
  <c r="I85" i="6"/>
  <c r="C90" i="2"/>
  <c r="P89" i="2"/>
  <c r="H85" i="6"/>
  <c r="J85" i="6" s="1"/>
  <c r="N89" i="2"/>
  <c r="J89" i="2"/>
  <c r="I89" i="2"/>
  <c r="C85" i="6"/>
  <c r="C89" i="2"/>
  <c r="P88" i="2"/>
  <c r="M84" i="6"/>
  <c r="N88" i="2"/>
  <c r="J88" i="2"/>
  <c r="I88" i="2"/>
  <c r="I84" i="6"/>
  <c r="H84" i="6"/>
  <c r="C84" i="6"/>
  <c r="M83" i="6"/>
  <c r="C19" i="3"/>
  <c r="C88" i="2"/>
  <c r="P87" i="2"/>
  <c r="N87" i="2"/>
  <c r="J87" i="2"/>
  <c r="I87" i="2"/>
  <c r="I83" i="6"/>
  <c r="C87" i="2"/>
  <c r="P86" i="2"/>
  <c r="H83" i="6"/>
  <c r="J83" i="6" s="1"/>
  <c r="N86" i="2"/>
  <c r="J86" i="2"/>
  <c r="I86" i="2"/>
  <c r="C83" i="6"/>
  <c r="C86" i="2"/>
  <c r="P85" i="2"/>
  <c r="M82" i="6"/>
  <c r="N85" i="2"/>
  <c r="J85" i="2"/>
  <c r="I85" i="2"/>
  <c r="C85" i="2"/>
  <c r="P84" i="2"/>
  <c r="I82" i="6"/>
  <c r="N84" i="2"/>
  <c r="J84" i="2"/>
  <c r="I84" i="2"/>
  <c r="H82" i="6"/>
  <c r="J82" i="6" s="1"/>
  <c r="C84" i="2"/>
  <c r="P83" i="2"/>
  <c r="C82" i="6"/>
  <c r="N83" i="2"/>
  <c r="J83" i="2"/>
  <c r="I83" i="2"/>
  <c r="M81" i="6"/>
  <c r="C83" i="2"/>
  <c r="P82" i="2"/>
  <c r="N82" i="2"/>
  <c r="J82" i="2"/>
  <c r="I82" i="2"/>
  <c r="I81" i="6"/>
  <c r="C82" i="2"/>
  <c r="P81" i="2"/>
  <c r="H81" i="6"/>
  <c r="J81" i="6" s="1"/>
  <c r="N81" i="2"/>
  <c r="J81" i="2"/>
  <c r="I81" i="2"/>
  <c r="C81" i="6"/>
  <c r="C81" i="2"/>
  <c r="P80" i="2"/>
  <c r="M80" i="6"/>
  <c r="N80" i="2"/>
  <c r="J80" i="2"/>
  <c r="I80" i="2"/>
  <c r="C80" i="2"/>
  <c r="P79" i="2"/>
  <c r="I80" i="6"/>
  <c r="N79" i="2"/>
  <c r="J79" i="2"/>
  <c r="I79" i="2"/>
  <c r="H80" i="6"/>
  <c r="J80" i="6" s="1"/>
  <c r="C79" i="2"/>
  <c r="P78" i="2"/>
  <c r="C80" i="6"/>
  <c r="N78" i="2"/>
  <c r="J78" i="2"/>
  <c r="I78" i="2"/>
  <c r="M79" i="6"/>
  <c r="C78" i="2"/>
  <c r="P77" i="2"/>
  <c r="N77" i="2"/>
  <c r="J77" i="2"/>
  <c r="I77" i="2"/>
  <c r="I79" i="6"/>
  <c r="C77" i="2"/>
  <c r="P76" i="2"/>
  <c r="H79" i="6"/>
  <c r="J79" i="6" s="1"/>
  <c r="N76" i="2"/>
  <c r="J76" i="2"/>
  <c r="I76" i="2"/>
  <c r="C79" i="6"/>
  <c r="C76" i="2"/>
  <c r="P75" i="2"/>
  <c r="M78" i="6"/>
  <c r="N75" i="2"/>
  <c r="J75" i="2"/>
  <c r="I75" i="2"/>
  <c r="C75" i="2"/>
  <c r="P74" i="2"/>
  <c r="I78" i="6"/>
  <c r="N74" i="2"/>
  <c r="J74" i="2"/>
  <c r="I74" i="2"/>
  <c r="H78" i="6"/>
  <c r="J78" i="6" s="1"/>
  <c r="C74" i="2"/>
  <c r="P73" i="2"/>
  <c r="C78" i="6"/>
  <c r="N73" i="2"/>
  <c r="J73" i="2"/>
  <c r="I73" i="2"/>
  <c r="M77" i="6"/>
  <c r="C73" i="2"/>
  <c r="P72" i="2"/>
  <c r="N72" i="2"/>
  <c r="J72" i="2"/>
  <c r="I72" i="2"/>
  <c r="I77" i="6"/>
  <c r="C72" i="2"/>
  <c r="P71" i="2"/>
  <c r="H77" i="6"/>
  <c r="J77" i="6" s="1"/>
  <c r="N71" i="2"/>
  <c r="J71" i="2"/>
  <c r="I71" i="2"/>
  <c r="C77" i="6"/>
  <c r="C71" i="2"/>
  <c r="P70" i="2"/>
  <c r="M76" i="6"/>
  <c r="N70" i="2"/>
  <c r="J70" i="2"/>
  <c r="I70" i="2"/>
  <c r="C70" i="2"/>
  <c r="P69" i="2"/>
  <c r="I76" i="6"/>
  <c r="N69" i="2"/>
  <c r="J69" i="2"/>
  <c r="I69" i="2"/>
  <c r="H76" i="6"/>
  <c r="J76" i="6" s="1"/>
  <c r="C69" i="2"/>
  <c r="P68" i="2"/>
  <c r="C76" i="6"/>
  <c r="N68" i="2"/>
  <c r="J68" i="2"/>
  <c r="I68" i="2"/>
  <c r="M75" i="6"/>
  <c r="C68" i="2"/>
  <c r="P67" i="2"/>
  <c r="N67" i="2"/>
  <c r="J67" i="2"/>
  <c r="I67" i="2"/>
  <c r="I75" i="6"/>
  <c r="C67" i="2"/>
  <c r="P66" i="2"/>
  <c r="H75" i="6"/>
  <c r="J75" i="6" s="1"/>
  <c r="N66" i="2"/>
  <c r="J66" i="2"/>
  <c r="I66" i="2"/>
  <c r="C75" i="6"/>
  <c r="C66" i="2"/>
  <c r="P65" i="2"/>
  <c r="M74" i="6"/>
  <c r="N65" i="2"/>
  <c r="J65" i="2"/>
  <c r="I65" i="2"/>
  <c r="C65" i="2"/>
  <c r="P64" i="2"/>
  <c r="I74" i="6"/>
  <c r="N64" i="2"/>
  <c r="J64" i="2"/>
  <c r="I64" i="2"/>
  <c r="H74" i="6"/>
  <c r="J74" i="6" s="1"/>
  <c r="C64" i="2"/>
  <c r="P63" i="2"/>
  <c r="C74" i="6"/>
  <c r="N63" i="2"/>
  <c r="J63" i="2"/>
  <c r="I63" i="2"/>
  <c r="M73" i="6"/>
  <c r="C63" i="2"/>
  <c r="P62" i="2"/>
  <c r="N62" i="2"/>
  <c r="J62" i="2"/>
  <c r="I62" i="2"/>
  <c r="I73" i="6"/>
  <c r="C62" i="2"/>
  <c r="P61" i="2"/>
  <c r="H73" i="6"/>
  <c r="J73" i="6" s="1"/>
  <c r="N61" i="2"/>
  <c r="J61" i="2"/>
  <c r="I61" i="2"/>
  <c r="C73" i="6"/>
  <c r="C61" i="2"/>
  <c r="P60" i="2"/>
  <c r="M72" i="6"/>
  <c r="N60" i="2"/>
  <c r="P59" i="2"/>
  <c r="N59" i="2"/>
  <c r="J59" i="2"/>
  <c r="I59" i="2"/>
  <c r="C59" i="2"/>
  <c r="P58" i="2"/>
  <c r="N58" i="2"/>
  <c r="J58" i="2"/>
  <c r="I58" i="2"/>
  <c r="C58" i="2"/>
  <c r="C57" i="5"/>
  <c r="C57" i="2"/>
  <c r="C53" i="5"/>
  <c r="C56" i="2"/>
  <c r="C51" i="5"/>
  <c r="C55" i="2"/>
  <c r="C54" i="2"/>
  <c r="C53" i="2"/>
  <c r="C52" i="2"/>
  <c r="C51" i="2"/>
  <c r="C50" i="2"/>
  <c r="C49" i="2"/>
  <c r="C46" i="2"/>
  <c r="C45" i="2"/>
  <c r="I65" i="3"/>
  <c r="C41" i="5"/>
  <c r="C41" i="2"/>
  <c r="C40" i="2"/>
  <c r="C39" i="2"/>
  <c r="C38" i="2"/>
  <c r="C37" i="5"/>
  <c r="C36" i="5"/>
  <c r="C34" i="2"/>
  <c r="C33" i="2"/>
  <c r="C35" i="5"/>
  <c r="J60" i="2"/>
  <c r="I60" i="2"/>
  <c r="C60" i="2"/>
  <c r="C42" i="2"/>
  <c r="C34" i="5"/>
  <c r="C32" i="5"/>
  <c r="C36" i="2"/>
  <c r="C35" i="2"/>
  <c r="C31" i="5"/>
  <c r="C32" i="2"/>
  <c r="C25" i="5"/>
  <c r="C31" i="2"/>
  <c r="C30" i="2"/>
  <c r="C24" i="5"/>
  <c r="C29" i="2"/>
  <c r="C28" i="2"/>
  <c r="C21" i="5"/>
  <c r="C27" i="2"/>
  <c r="C20" i="5"/>
  <c r="C26" i="2"/>
  <c r="C19" i="5"/>
  <c r="C18" i="5"/>
  <c r="C25" i="2"/>
  <c r="C17" i="5"/>
  <c r="C24" i="2"/>
  <c r="I72" i="6"/>
  <c r="H72" i="6"/>
  <c r="J72" i="6" s="1"/>
  <c r="C23" i="2"/>
  <c r="C72" i="6"/>
  <c r="M71" i="6"/>
  <c r="C22" i="2"/>
  <c r="I71" i="6"/>
  <c r="C21" i="2"/>
  <c r="H71" i="6"/>
  <c r="J71" i="6" s="1"/>
  <c r="C71" i="6"/>
  <c r="C20" i="2"/>
  <c r="M70" i="6"/>
  <c r="C19" i="2"/>
  <c r="I70" i="6"/>
  <c r="H70" i="6"/>
  <c r="J70" i="6" s="1"/>
  <c r="C18" i="2"/>
  <c r="C70" i="6"/>
  <c r="M69" i="6"/>
  <c r="C17" i="2"/>
  <c r="I69" i="6"/>
  <c r="C16" i="2"/>
  <c r="H69" i="6"/>
  <c r="J69" i="6" s="1"/>
  <c r="C69" i="6"/>
  <c r="C15" i="2"/>
  <c r="M68" i="6"/>
  <c r="C14" i="2"/>
  <c r="I68" i="6"/>
  <c r="H68" i="6"/>
  <c r="J68" i="6" s="1"/>
  <c r="C13" i="2"/>
  <c r="C68" i="6"/>
  <c r="M67" i="6"/>
  <c r="C12" i="2"/>
  <c r="I67" i="6"/>
  <c r="C11" i="2"/>
  <c r="H67" i="6"/>
  <c r="J67" i="6" s="1"/>
  <c r="C67" i="6"/>
  <c r="C10" i="2"/>
  <c r="M66" i="6"/>
  <c r="C9" i="2"/>
  <c r="P8" i="2"/>
  <c r="I66" i="6"/>
  <c r="N8" i="2"/>
  <c r="I8" i="2"/>
  <c r="H66" i="6"/>
  <c r="J66" i="6" s="1"/>
  <c r="C8" i="2"/>
  <c r="P7" i="2"/>
  <c r="C66" i="6"/>
  <c r="N7" i="2"/>
  <c r="M65" i="6"/>
  <c r="J7" i="2"/>
  <c r="I7" i="2"/>
  <c r="I65" i="6"/>
  <c r="C7" i="2"/>
  <c r="B17" i="1"/>
  <c r="H65" i="6"/>
  <c r="J65" i="6" s="1"/>
  <c r="C65" i="6"/>
  <c r="M64" i="6"/>
  <c r="I64" i="6"/>
  <c r="H64" i="6"/>
  <c r="J64" i="6" s="1"/>
  <c r="C64" i="6"/>
  <c r="M63" i="6"/>
  <c r="I63" i="6"/>
  <c r="H63" i="6"/>
  <c r="J63" i="6" s="1"/>
  <c r="J96" i="6" l="1"/>
  <c r="J106" i="3"/>
  <c r="J84" i="6"/>
  <c r="J102" i="3"/>
  <c r="J80" i="3"/>
  <c r="M7" i="2"/>
  <c r="H7" i="2"/>
  <c r="Q106" i="2"/>
  <c r="L106" i="5"/>
  <c r="K106" i="2"/>
  <c r="H106" i="5"/>
  <c r="Q105" i="2"/>
  <c r="L105" i="5"/>
  <c r="K105" i="2"/>
  <c r="H105" i="5"/>
  <c r="Q104" i="2"/>
  <c r="L104" i="5"/>
  <c r="K104" i="2"/>
  <c r="H104" i="5"/>
  <c r="Q103" i="2"/>
  <c r="L103" i="5"/>
  <c r="K103" i="2"/>
  <c r="H103" i="5"/>
  <c r="Q102" i="2"/>
  <c r="L102" i="5"/>
  <c r="K102" i="2"/>
  <c r="H102" i="5"/>
  <c r="Q101" i="2"/>
  <c r="L101" i="5"/>
  <c r="K101" i="2"/>
  <c r="H101" i="5"/>
  <c r="Q100" i="2"/>
  <c r="L100" i="5"/>
  <c r="K100" i="2"/>
  <c r="H100" i="5"/>
  <c r="Q99" i="2"/>
  <c r="L99" i="5"/>
  <c r="K99" i="2"/>
  <c r="C29" i="4" s="1"/>
  <c r="H99" i="5"/>
  <c r="Q98" i="2"/>
  <c r="L98" i="5"/>
  <c r="K98" i="2"/>
  <c r="H98" i="5"/>
  <c r="Q97" i="2"/>
  <c r="L97" i="5"/>
  <c r="K97" i="2"/>
  <c r="H97" i="5"/>
  <c r="Q96" i="2"/>
  <c r="L96" i="5"/>
  <c r="K96" i="2"/>
  <c r="H96" i="5"/>
  <c r="Q95" i="2"/>
  <c r="L95" i="5"/>
  <c r="K95" i="2"/>
  <c r="C28" i="4" s="1"/>
  <c r="H95" i="5"/>
  <c r="Q94" i="2"/>
  <c r="L94" i="5"/>
  <c r="K94" i="2"/>
  <c r="H94" i="5"/>
  <c r="Q93" i="2"/>
  <c r="L93" i="5"/>
  <c r="K93" i="2"/>
  <c r="H93" i="5"/>
  <c r="Q92" i="2"/>
  <c r="L92" i="5"/>
  <c r="K92" i="2"/>
  <c r="H92" i="5"/>
  <c r="Q91" i="2"/>
  <c r="L91" i="5"/>
  <c r="K91" i="2"/>
  <c r="C27" i="4" s="1"/>
  <c r="H91" i="5"/>
  <c r="Q90" i="2"/>
  <c r="L90" i="5"/>
  <c r="K90" i="2"/>
  <c r="H90" i="5"/>
  <c r="Q89" i="2"/>
  <c r="L89" i="5"/>
  <c r="K89" i="2"/>
  <c r="H89" i="5"/>
  <c r="Q88" i="2"/>
  <c r="L88" i="5"/>
  <c r="K88" i="2"/>
  <c r="H88" i="5"/>
  <c r="Q87" i="2"/>
  <c r="L87" i="5"/>
  <c r="K87" i="2"/>
  <c r="H87" i="5"/>
  <c r="Q86" i="2"/>
  <c r="L86" i="5"/>
  <c r="K86" i="2"/>
  <c r="H86" i="5"/>
  <c r="Q85" i="2"/>
  <c r="L85" i="5"/>
  <c r="K85" i="2"/>
  <c r="H85" i="5"/>
  <c r="Q84" i="2"/>
  <c r="L84" i="5"/>
  <c r="K84" i="2"/>
  <c r="H84" i="5"/>
  <c r="Q83" i="2"/>
  <c r="L83" i="5"/>
  <c r="K83" i="2"/>
  <c r="H83" i="5"/>
  <c r="Q82" i="2"/>
  <c r="L82" i="5"/>
  <c r="K82" i="2"/>
  <c r="H82" i="5"/>
  <c r="Q81" i="2"/>
  <c r="L81" i="5"/>
  <c r="K81" i="2"/>
  <c r="H81" i="5"/>
  <c r="Q80" i="2"/>
  <c r="L80" i="5"/>
  <c r="K80" i="2"/>
  <c r="H80" i="5"/>
  <c r="Q79" i="2"/>
  <c r="L79" i="5"/>
  <c r="K79" i="2"/>
  <c r="H79" i="5"/>
  <c r="Q78" i="2"/>
  <c r="L78" i="5"/>
  <c r="K78" i="2"/>
  <c r="H78" i="5"/>
  <c r="Q77" i="2"/>
  <c r="L77" i="5"/>
  <c r="K77" i="2"/>
  <c r="H77" i="5"/>
  <c r="Q76" i="2"/>
  <c r="L76" i="5"/>
  <c r="K76" i="2"/>
  <c r="H76" i="5"/>
  <c r="Q75" i="2"/>
  <c r="L75" i="5"/>
  <c r="K75" i="2"/>
  <c r="C23" i="4" s="1"/>
  <c r="H75" i="5"/>
  <c r="Q74" i="2"/>
  <c r="L74" i="5"/>
  <c r="K74" i="2"/>
  <c r="H74" i="5"/>
  <c r="Q73" i="2"/>
  <c r="L73" i="5"/>
  <c r="K73" i="2"/>
  <c r="H73" i="5"/>
  <c r="Q72" i="2"/>
  <c r="L72" i="5"/>
  <c r="K72" i="2"/>
  <c r="H72" i="5"/>
  <c r="Q71" i="2"/>
  <c r="L71" i="5"/>
  <c r="K71" i="2"/>
  <c r="H71" i="5"/>
  <c r="Q70" i="2"/>
  <c r="L70" i="5"/>
  <c r="K70" i="2"/>
  <c r="H70" i="5"/>
  <c r="Q69" i="2"/>
  <c r="L69" i="5"/>
  <c r="K69" i="2"/>
  <c r="H69" i="5"/>
  <c r="Q68" i="2"/>
  <c r="L68" i="5"/>
  <c r="K68" i="2"/>
  <c r="H68" i="5"/>
  <c r="Q67" i="2"/>
  <c r="L67" i="5"/>
  <c r="K67" i="2"/>
  <c r="C21" i="4" s="1"/>
  <c r="H67" i="5"/>
  <c r="Q66" i="2"/>
  <c r="L66" i="5"/>
  <c r="K66" i="2"/>
  <c r="H66" i="5"/>
  <c r="Q65" i="2"/>
  <c r="L65" i="5"/>
  <c r="K65" i="2"/>
  <c r="H65" i="5"/>
  <c r="Q64" i="2"/>
  <c r="L64" i="5"/>
  <c r="K64" i="2"/>
  <c r="H64" i="5"/>
  <c r="Q63" i="2"/>
  <c r="L63" i="5"/>
  <c r="K63" i="2"/>
  <c r="H63" i="5"/>
  <c r="Q62" i="2"/>
  <c r="L62" i="5"/>
  <c r="K62" i="2"/>
  <c r="H62" i="5"/>
  <c r="Q61" i="2"/>
  <c r="L61" i="5"/>
  <c r="K61" i="2"/>
  <c r="H61" i="5"/>
  <c r="Q59" i="2"/>
  <c r="L59" i="5"/>
  <c r="K59" i="2"/>
  <c r="H59" i="5"/>
  <c r="Q58" i="2"/>
  <c r="L58" i="5"/>
  <c r="K58" i="2"/>
  <c r="H58" i="5"/>
  <c r="Q60" i="2"/>
  <c r="L60" i="5"/>
  <c r="K60" i="2"/>
  <c r="H60" i="5"/>
  <c r="H8" i="5"/>
  <c r="Q7" i="2"/>
  <c r="L7" i="5"/>
  <c r="K7" i="2"/>
  <c r="H7" i="5"/>
  <c r="I7" i="5" s="1"/>
  <c r="J65" i="3"/>
  <c r="P55" i="2"/>
  <c r="P51" i="2"/>
  <c r="P47" i="2"/>
  <c r="P43" i="2"/>
  <c r="P39" i="2"/>
  <c r="P35" i="2"/>
  <c r="P31" i="2"/>
  <c r="P27" i="2"/>
  <c r="P23" i="2"/>
  <c r="P19" i="2"/>
  <c r="P15" i="2"/>
  <c r="P11" i="2"/>
  <c r="P107" i="2" s="1"/>
  <c r="B80" i="1" s="1"/>
  <c r="I9" i="6"/>
  <c r="J9" i="6" s="1"/>
  <c r="L9" i="6"/>
  <c r="L8" i="3"/>
  <c r="I8" i="3"/>
  <c r="J8" i="3" s="1"/>
  <c r="C25" i="4" l="1"/>
  <c r="C26" i="4"/>
  <c r="C24" i="4"/>
  <c r="C20" i="4"/>
  <c r="J7" i="5"/>
  <c r="K9" i="6"/>
  <c r="D10" i="6" s="1"/>
  <c r="K8" i="3"/>
  <c r="D9" i="3" s="1"/>
  <c r="L7" i="2"/>
  <c r="D8" i="2" s="1"/>
  <c r="C30" i="4"/>
  <c r="C22" i="4"/>
  <c r="C19" i="4"/>
  <c r="G10" i="6" l="1"/>
  <c r="I10" i="6"/>
  <c r="G9" i="3"/>
  <c r="I9" i="3"/>
  <c r="D8" i="5"/>
  <c r="G8" i="5" s="1"/>
  <c r="G8" i="2"/>
  <c r="J8" i="2"/>
  <c r="L10" i="6" l="1"/>
  <c r="J10" i="6"/>
  <c r="L9" i="3"/>
  <c r="J9" i="3"/>
  <c r="I8" i="5"/>
  <c r="M8" i="2"/>
  <c r="K8" i="2"/>
  <c r="L8" i="5"/>
  <c r="Q8" i="2"/>
  <c r="K10" i="6" l="1"/>
  <c r="D11" i="6" s="1"/>
  <c r="K9" i="3"/>
  <c r="D10" i="3" s="1"/>
  <c r="J8" i="5"/>
  <c r="L8" i="2"/>
  <c r="D9" i="2" s="1"/>
  <c r="G11" i="6" l="1"/>
  <c r="H11" i="6"/>
  <c r="I11" i="6" s="1"/>
  <c r="G10" i="3"/>
  <c r="H10" i="3"/>
  <c r="I10" i="3" s="1"/>
  <c r="D9" i="5"/>
  <c r="G9" i="2"/>
  <c r="L11" i="6" l="1"/>
  <c r="M11" i="6" s="1"/>
  <c r="J11" i="6"/>
  <c r="L10" i="3"/>
  <c r="M10" i="3" s="1"/>
  <c r="J10" i="3"/>
  <c r="G9" i="5"/>
  <c r="I9" i="2"/>
  <c r="M9" i="2" s="1"/>
  <c r="N9" i="2" s="1"/>
  <c r="K11" i="6" l="1"/>
  <c r="D12" i="6" s="1"/>
  <c r="K10" i="3"/>
  <c r="D11" i="3" s="1"/>
  <c r="J9" i="2"/>
  <c r="K9" i="2" s="1"/>
  <c r="H9" i="5"/>
  <c r="I9" i="5" s="1"/>
  <c r="G12" i="6" l="1"/>
  <c r="H12" i="6"/>
  <c r="I12" i="6" s="1"/>
  <c r="G11" i="3"/>
  <c r="I11" i="3"/>
  <c r="H11" i="3"/>
  <c r="J9" i="5"/>
  <c r="K9" i="5" s="1"/>
  <c r="Q9" i="2"/>
  <c r="L9" i="5"/>
  <c r="L9" i="2"/>
  <c r="D10" i="2" s="1"/>
  <c r="L12" i="6" l="1"/>
  <c r="M12" i="6" s="1"/>
  <c r="J12" i="6"/>
  <c r="L11" i="3"/>
  <c r="M11" i="3" s="1"/>
  <c r="J11" i="3"/>
  <c r="D10" i="5"/>
  <c r="G10" i="2"/>
  <c r="K12" i="6" l="1"/>
  <c r="D13" i="6" s="1"/>
  <c r="K11" i="3"/>
  <c r="D12" i="3" s="1"/>
  <c r="G10" i="5"/>
  <c r="D6" i="4"/>
  <c r="F6" i="4"/>
  <c r="G6" i="4" s="1"/>
  <c r="I10" i="2"/>
  <c r="M10" i="2" s="1"/>
  <c r="N10" i="2" s="1"/>
  <c r="G13" i="6" l="1"/>
  <c r="H13" i="6"/>
  <c r="I13" i="6" s="1"/>
  <c r="G12" i="3"/>
  <c r="H12" i="3"/>
  <c r="I12" i="3" s="1"/>
  <c r="J10" i="2"/>
  <c r="K10" i="2" s="1"/>
  <c r="H10" i="5"/>
  <c r="I10" i="5" s="1"/>
  <c r="J13" i="6" l="1"/>
  <c r="K13" i="6" s="1"/>
  <c r="D14" i="6" s="1"/>
  <c r="J12" i="3"/>
  <c r="K12" i="3" s="1"/>
  <c r="D13" i="3" s="1"/>
  <c r="J10" i="5"/>
  <c r="K10" i="5" s="1"/>
  <c r="Q10" i="2"/>
  <c r="L10" i="5"/>
  <c r="L10" i="2"/>
  <c r="D11" i="2" s="1"/>
  <c r="C6" i="4"/>
  <c r="E6" i="4" s="1"/>
  <c r="L12" i="3"/>
  <c r="M12" i="3" s="1"/>
  <c r="L13" i="6"/>
  <c r="M13" i="6" s="1"/>
  <c r="G14" i="6" l="1"/>
  <c r="H14" i="6"/>
  <c r="I14" i="6" s="1"/>
  <c r="J14" i="6" s="1"/>
  <c r="K14" i="6" s="1"/>
  <c r="D15" i="6" s="1"/>
  <c r="G13" i="3"/>
  <c r="H13" i="3"/>
  <c r="I13" i="3" s="1"/>
  <c r="J13" i="3" s="1"/>
  <c r="K13" i="3" s="1"/>
  <c r="D14" i="3" s="1"/>
  <c r="B7" i="4"/>
  <c r="D11" i="5"/>
  <c r="G11" i="2"/>
  <c r="H15" i="6" l="1"/>
  <c r="I15" i="6" s="1"/>
  <c r="J15" i="6" s="1"/>
  <c r="K15" i="6" s="1"/>
  <c r="D16" i="6" s="1"/>
  <c r="G15" i="6"/>
  <c r="H14" i="3"/>
  <c r="I14" i="3"/>
  <c r="G14" i="3"/>
  <c r="G11" i="5"/>
  <c r="I11" i="2"/>
  <c r="M11" i="2" s="1"/>
  <c r="N11" i="2" s="1"/>
  <c r="L14" i="6"/>
  <c r="M14" i="6" s="1"/>
  <c r="L13" i="3"/>
  <c r="M13" i="3" s="1"/>
  <c r="L15" i="6" l="1"/>
  <c r="M15" i="6" s="1"/>
  <c r="H16" i="6"/>
  <c r="I16" i="6" s="1"/>
  <c r="G16" i="6"/>
  <c r="J11" i="2"/>
  <c r="K11" i="2" s="1"/>
  <c r="H11" i="5"/>
  <c r="J14" i="3"/>
  <c r="K14" i="3" s="1"/>
  <c r="D15" i="3" s="1"/>
  <c r="L14" i="3"/>
  <c r="M14" i="3" s="1"/>
  <c r="Q11" i="2" l="1"/>
  <c r="L11" i="5"/>
  <c r="L11" i="2"/>
  <c r="D12" i="2" s="1"/>
  <c r="I11" i="5"/>
  <c r="J11" i="5" s="1"/>
  <c r="K11" i="5" s="1"/>
  <c r="G15" i="3"/>
  <c r="H15" i="3"/>
  <c r="I15" i="3" s="1"/>
  <c r="L16" i="6"/>
  <c r="M16" i="6" s="1"/>
  <c r="J16" i="6"/>
  <c r="K16" i="6" s="1"/>
  <c r="D17" i="6" s="1"/>
  <c r="D12" i="5" l="1"/>
  <c r="G12" i="2"/>
  <c r="G17" i="6"/>
  <c r="H17" i="6"/>
  <c r="I17" i="6" s="1"/>
  <c r="J15" i="3"/>
  <c r="K15" i="3" s="1"/>
  <c r="D16" i="3" s="1"/>
  <c r="L15" i="3"/>
  <c r="M15" i="3" s="1"/>
  <c r="G12" i="5" l="1"/>
  <c r="I12" i="2"/>
  <c r="M12" i="2" s="1"/>
  <c r="N12" i="2" s="1"/>
  <c r="G16" i="3"/>
  <c r="H16" i="3"/>
  <c r="I16" i="3" s="1"/>
  <c r="L17" i="6"/>
  <c r="M17" i="6" s="1"/>
  <c r="J17" i="6"/>
  <c r="K17" i="6" s="1"/>
  <c r="D18" i="6" s="1"/>
  <c r="J12" i="2" l="1"/>
  <c r="K12" i="2" s="1"/>
  <c r="H12" i="5"/>
  <c r="I12" i="5" s="1"/>
  <c r="J12" i="5" s="1"/>
  <c r="K12" i="5" s="1"/>
  <c r="G18" i="6"/>
  <c r="H18" i="6"/>
  <c r="I18" i="6" s="1"/>
  <c r="J18" i="6" s="1"/>
  <c r="K18" i="6" s="1"/>
  <c r="D19" i="6" s="1"/>
  <c r="J16" i="3"/>
  <c r="K16" i="3" s="1"/>
  <c r="D17" i="3" s="1"/>
  <c r="L16" i="3"/>
  <c r="M16" i="3" s="1"/>
  <c r="Q12" i="2" l="1"/>
  <c r="L12" i="5"/>
  <c r="L12" i="2"/>
  <c r="D13" i="2" s="1"/>
  <c r="I19" i="6"/>
  <c r="H19" i="6"/>
  <c r="G19" i="6"/>
  <c r="G17" i="3"/>
  <c r="I17" i="3"/>
  <c r="H17" i="3"/>
  <c r="L18" i="6"/>
  <c r="M18" i="6" s="1"/>
  <c r="L19" i="6" l="1"/>
  <c r="M19" i="6" s="1"/>
  <c r="D13" i="5"/>
  <c r="G13" i="2"/>
  <c r="J19" i="6"/>
  <c r="K19" i="6" s="1"/>
  <c r="D20" i="6" s="1"/>
  <c r="L17" i="3"/>
  <c r="M17" i="3" s="1"/>
  <c r="J17" i="3"/>
  <c r="K17" i="3" s="1"/>
  <c r="D18" i="3" s="1"/>
  <c r="G13" i="5" l="1"/>
  <c r="I13" i="2"/>
  <c r="M13" i="2" s="1"/>
  <c r="N13" i="2" s="1"/>
  <c r="G20" i="6"/>
  <c r="H20" i="6"/>
  <c r="I20" i="6" s="1"/>
  <c r="G18" i="3"/>
  <c r="H18" i="3"/>
  <c r="I18" i="3" s="1"/>
  <c r="J18" i="3" s="1"/>
  <c r="K18" i="3" s="1"/>
  <c r="D19" i="3" s="1"/>
  <c r="L18" i="3" l="1"/>
  <c r="M18" i="3" s="1"/>
  <c r="J13" i="2"/>
  <c r="K13" i="2" s="1"/>
  <c r="H13" i="5"/>
  <c r="I13" i="5" s="1"/>
  <c r="J13" i="5" s="1"/>
  <c r="K13" i="5" s="1"/>
  <c r="H19" i="3"/>
  <c r="I19" i="3"/>
  <c r="G19" i="3"/>
  <c r="J20" i="6"/>
  <c r="K20" i="6" s="1"/>
  <c r="D21" i="6" s="1"/>
  <c r="L20" i="6"/>
  <c r="M20" i="6" s="1"/>
  <c r="L19" i="3" l="1"/>
  <c r="M19" i="3" s="1"/>
  <c r="Q13" i="2"/>
  <c r="L13" i="5"/>
  <c r="L13" i="2"/>
  <c r="D14" i="2" s="1"/>
  <c r="G21" i="6"/>
  <c r="I21" i="6"/>
  <c r="H21" i="6"/>
  <c r="J19" i="3"/>
  <c r="K19" i="3" s="1"/>
  <c r="D14" i="5" l="1"/>
  <c r="G14" i="2"/>
  <c r="D20" i="3"/>
  <c r="H20" i="3" s="1"/>
  <c r="L21" i="6"/>
  <c r="M21" i="6" s="1"/>
  <c r="J21" i="6"/>
  <c r="K21" i="6" s="1"/>
  <c r="D22" i="6" s="1"/>
  <c r="G14" i="5" l="1"/>
  <c r="D7" i="4"/>
  <c r="I14" i="2"/>
  <c r="M14" i="2" s="1"/>
  <c r="N14" i="2" s="1"/>
  <c r="I20" i="3"/>
  <c r="J20" i="3" s="1"/>
  <c r="K20" i="3" s="1"/>
  <c r="D21" i="3" s="1"/>
  <c r="G20" i="3"/>
  <c r="L20" i="3" s="1"/>
  <c r="M20" i="3" s="1"/>
  <c r="G22" i="6"/>
  <c r="H22" i="6"/>
  <c r="I22" i="6" s="1"/>
  <c r="J22" i="6" s="1"/>
  <c r="K22" i="6" s="1"/>
  <c r="D23" i="6" s="1"/>
  <c r="J14" i="2" l="1"/>
  <c r="K14" i="2" s="1"/>
  <c r="H14" i="5"/>
  <c r="I14" i="5" s="1"/>
  <c r="J14" i="5" s="1"/>
  <c r="K14" i="5" s="1"/>
  <c r="H21" i="3"/>
  <c r="I21" i="3"/>
  <c r="G21" i="3"/>
  <c r="H23" i="6"/>
  <c r="I23" i="6" s="1"/>
  <c r="G23" i="6"/>
  <c r="L22" i="6"/>
  <c r="M22" i="6" s="1"/>
  <c r="L23" i="6" l="1"/>
  <c r="M23" i="6" s="1"/>
  <c r="Q14" i="2"/>
  <c r="L14" i="5"/>
  <c r="L14" i="2"/>
  <c r="D15" i="2" s="1"/>
  <c r="C7" i="4"/>
  <c r="E7" i="4" s="1"/>
  <c r="J21" i="3"/>
  <c r="K21" i="3" s="1"/>
  <c r="D22" i="3" s="1"/>
  <c r="L21" i="3"/>
  <c r="M21" i="3" s="1"/>
  <c r="J23" i="6"/>
  <c r="K23" i="6" s="1"/>
  <c r="D24" i="6" s="1"/>
  <c r="B8" i="4" l="1"/>
  <c r="D15" i="5"/>
  <c r="G15" i="2"/>
  <c r="G22" i="3"/>
  <c r="H22" i="3"/>
  <c r="I22" i="3" s="1"/>
  <c r="G24" i="6"/>
  <c r="H24" i="6"/>
  <c r="I24" i="6" s="1"/>
  <c r="L24" i="6" l="1"/>
  <c r="M24" i="6" s="1"/>
  <c r="G15" i="5"/>
  <c r="I15" i="2"/>
  <c r="M15" i="2" s="1"/>
  <c r="N15" i="2" s="1"/>
  <c r="L22" i="3"/>
  <c r="M22" i="3" s="1"/>
  <c r="J22" i="3"/>
  <c r="K22" i="3" s="1"/>
  <c r="D23" i="3" s="1"/>
  <c r="J24" i="6"/>
  <c r="K24" i="6" s="1"/>
  <c r="D25" i="6" s="1"/>
  <c r="J15" i="2" l="1"/>
  <c r="K15" i="2" s="1"/>
  <c r="H15" i="5"/>
  <c r="I15" i="5" s="1"/>
  <c r="J15" i="5" s="1"/>
  <c r="K15" i="5" s="1"/>
  <c r="G23" i="3"/>
  <c r="H23" i="3"/>
  <c r="I23" i="3" s="1"/>
  <c r="G25" i="6"/>
  <c r="H25" i="6"/>
  <c r="I25" i="6" s="1"/>
  <c r="Q15" i="2" l="1"/>
  <c r="L15" i="5"/>
  <c r="L15" i="2"/>
  <c r="D16" i="2" s="1"/>
  <c r="L23" i="3"/>
  <c r="M23" i="3" s="1"/>
  <c r="J23" i="3"/>
  <c r="K23" i="3" s="1"/>
  <c r="D24" i="3" s="1"/>
  <c r="J25" i="6"/>
  <c r="K25" i="6" s="1"/>
  <c r="D26" i="6" s="1"/>
  <c r="L25" i="6"/>
  <c r="M25" i="6" s="1"/>
  <c r="D16" i="5" l="1"/>
  <c r="G16" i="2"/>
  <c r="G24" i="3"/>
  <c r="H24" i="3"/>
  <c r="I24" i="3" s="1"/>
  <c r="J24" i="3" s="1"/>
  <c r="K24" i="3" s="1"/>
  <c r="D25" i="3" s="1"/>
  <c r="G26" i="6"/>
  <c r="H26" i="6"/>
  <c r="I26" i="6" s="1"/>
  <c r="L24" i="3" l="1"/>
  <c r="M24" i="3" s="1"/>
  <c r="G16" i="5"/>
  <c r="I16" i="2"/>
  <c r="M16" i="2" s="1"/>
  <c r="N16" i="2" s="1"/>
  <c r="H25" i="3"/>
  <c r="I25" i="3" s="1"/>
  <c r="G25" i="3"/>
  <c r="L26" i="6"/>
  <c r="M26" i="6" s="1"/>
  <c r="J26" i="6"/>
  <c r="K26" i="6" s="1"/>
  <c r="D27" i="6" s="1"/>
  <c r="J16" i="2" l="1"/>
  <c r="K16" i="2" s="1"/>
  <c r="H16" i="5"/>
  <c r="I16" i="5" s="1"/>
  <c r="J16" i="5" s="1"/>
  <c r="K16" i="5" s="1"/>
  <c r="G27" i="6"/>
  <c r="H27" i="6"/>
  <c r="I27" i="6" s="1"/>
  <c r="J25" i="3"/>
  <c r="K25" i="3" s="1"/>
  <c r="D26" i="3" s="1"/>
  <c r="L25" i="3"/>
  <c r="M25" i="3" s="1"/>
  <c r="Q16" i="2" l="1"/>
  <c r="L16" i="5"/>
  <c r="L16" i="2"/>
  <c r="D17" i="2" s="1"/>
  <c r="G26" i="3"/>
  <c r="H26" i="3"/>
  <c r="I26" i="3" s="1"/>
  <c r="L27" i="6"/>
  <c r="M27" i="6" s="1"/>
  <c r="J27" i="6"/>
  <c r="K27" i="6" s="1"/>
  <c r="D28" i="6" s="1"/>
  <c r="D17" i="5" l="1"/>
  <c r="G17" i="2"/>
  <c r="G28" i="6"/>
  <c r="H28" i="6"/>
  <c r="I28" i="6" s="1"/>
  <c r="J26" i="3"/>
  <c r="K26" i="3" s="1"/>
  <c r="D27" i="3" s="1"/>
  <c r="L26" i="3"/>
  <c r="M26" i="3" s="1"/>
  <c r="G17" i="5" l="1"/>
  <c r="I17" i="2"/>
  <c r="M17" i="2" s="1"/>
  <c r="N17" i="2" s="1"/>
  <c r="G27" i="3"/>
  <c r="H27" i="3"/>
  <c r="I27" i="3" s="1"/>
  <c r="J27" i="3" s="1"/>
  <c r="K27" i="3" s="1"/>
  <c r="D28" i="3" s="1"/>
  <c r="J28" i="6"/>
  <c r="K28" i="6" s="1"/>
  <c r="D29" i="6" s="1"/>
  <c r="L28" i="6"/>
  <c r="M28" i="6" s="1"/>
  <c r="L27" i="3" l="1"/>
  <c r="M27" i="3" s="1"/>
  <c r="J17" i="2"/>
  <c r="K17" i="2" s="1"/>
  <c r="H17" i="5"/>
  <c r="I17" i="5" s="1"/>
  <c r="J17" i="5" s="1"/>
  <c r="K17" i="5" s="1"/>
  <c r="H28" i="3"/>
  <c r="I28" i="3"/>
  <c r="G28" i="3"/>
  <c r="L28" i="3" s="1"/>
  <c r="M28" i="3" s="1"/>
  <c r="G29" i="6"/>
  <c r="H29" i="6"/>
  <c r="I29" i="6" s="1"/>
  <c r="Q17" i="2" l="1"/>
  <c r="L17" i="5"/>
  <c r="L17" i="2"/>
  <c r="D18" i="2" s="1"/>
  <c r="J28" i="3"/>
  <c r="K28" i="3" s="1"/>
  <c r="D29" i="3" s="1"/>
  <c r="L29" i="6"/>
  <c r="M29" i="6" s="1"/>
  <c r="J29" i="6"/>
  <c r="K29" i="6" s="1"/>
  <c r="D30" i="6" s="1"/>
  <c r="D18" i="5" l="1"/>
  <c r="G18" i="2"/>
  <c r="G29" i="3"/>
  <c r="H29" i="3"/>
  <c r="I29" i="3" s="1"/>
  <c r="G30" i="6"/>
  <c r="H30" i="6"/>
  <c r="I30" i="6" s="1"/>
  <c r="J30" i="6" s="1"/>
  <c r="K30" i="6" s="1"/>
  <c r="D31" i="6" s="1"/>
  <c r="L29" i="3" l="1"/>
  <c r="M29" i="3" s="1"/>
  <c r="G18" i="5"/>
  <c r="D8" i="4"/>
  <c r="I18" i="2"/>
  <c r="M18" i="2" s="1"/>
  <c r="N18" i="2" s="1"/>
  <c r="H31" i="6"/>
  <c r="I31" i="6"/>
  <c r="G31" i="6"/>
  <c r="J29" i="3"/>
  <c r="K29" i="3" s="1"/>
  <c r="D30" i="3" s="1"/>
  <c r="L30" i="6"/>
  <c r="M30" i="6" s="1"/>
  <c r="L31" i="6" l="1"/>
  <c r="M31" i="6" s="1"/>
  <c r="J18" i="2"/>
  <c r="K18" i="2" s="1"/>
  <c r="H18" i="5"/>
  <c r="I18" i="5" s="1"/>
  <c r="J18" i="5" s="1"/>
  <c r="K18" i="5" s="1"/>
  <c r="G30" i="3"/>
  <c r="H30" i="3"/>
  <c r="I30" i="3" s="1"/>
  <c r="J31" i="6"/>
  <c r="K31" i="6" s="1"/>
  <c r="D32" i="6" s="1"/>
  <c r="Q18" i="2" l="1"/>
  <c r="L18" i="5"/>
  <c r="L18" i="2"/>
  <c r="D19" i="2" s="1"/>
  <c r="C8" i="4"/>
  <c r="E8" i="4" s="1"/>
  <c r="G32" i="6"/>
  <c r="H32" i="6"/>
  <c r="I32" i="6" s="1"/>
  <c r="J32" i="6" s="1"/>
  <c r="K32" i="6" s="1"/>
  <c r="D33" i="6" s="1"/>
  <c r="L30" i="3"/>
  <c r="M30" i="3" s="1"/>
  <c r="J30" i="3"/>
  <c r="K30" i="3" s="1"/>
  <c r="D31" i="3" s="1"/>
  <c r="D19" i="5" l="1"/>
  <c r="B9" i="4"/>
  <c r="G19" i="2"/>
  <c r="H33" i="6"/>
  <c r="I33" i="6" s="1"/>
  <c r="J33" i="6" s="1"/>
  <c r="K33" i="6" s="1"/>
  <c r="D34" i="6" s="1"/>
  <c r="G33" i="6"/>
  <c r="G31" i="3"/>
  <c r="H31" i="3"/>
  <c r="I31" i="3" s="1"/>
  <c r="L32" i="6"/>
  <c r="M32" i="6" s="1"/>
  <c r="L33" i="6" l="1"/>
  <c r="M33" i="6" s="1"/>
  <c r="G19" i="5"/>
  <c r="I19" i="2"/>
  <c r="M19" i="2" s="1"/>
  <c r="N19" i="2" s="1"/>
  <c r="H34" i="6"/>
  <c r="I34" i="6" s="1"/>
  <c r="G34" i="6"/>
  <c r="L31" i="3"/>
  <c r="M31" i="3" s="1"/>
  <c r="J31" i="3"/>
  <c r="K31" i="3" s="1"/>
  <c r="D32" i="3" s="1"/>
  <c r="J19" i="2" l="1"/>
  <c r="K19" i="2" s="1"/>
  <c r="H19" i="5"/>
  <c r="I19" i="5" s="1"/>
  <c r="J19" i="5" s="1"/>
  <c r="K19" i="5" s="1"/>
  <c r="G32" i="3"/>
  <c r="I32" i="3"/>
  <c r="H32" i="3"/>
  <c r="J34" i="6"/>
  <c r="K34" i="6" s="1"/>
  <c r="D35" i="6" s="1"/>
  <c r="L34" i="6"/>
  <c r="M34" i="6" s="1"/>
  <c r="L32" i="3" l="1"/>
  <c r="M32" i="3" s="1"/>
  <c r="Q19" i="2"/>
  <c r="L19" i="5"/>
  <c r="L19" i="2"/>
  <c r="D20" i="2" s="1"/>
  <c r="G35" i="6"/>
  <c r="H35" i="6"/>
  <c r="I35" i="6" s="1"/>
  <c r="J35" i="6" s="1"/>
  <c r="K35" i="6" s="1"/>
  <c r="D36" i="6" s="1"/>
  <c r="J32" i="3"/>
  <c r="K32" i="3" s="1"/>
  <c r="D33" i="3" s="1"/>
  <c r="L35" i="6" l="1"/>
  <c r="M35" i="6" s="1"/>
  <c r="D20" i="5"/>
  <c r="G20" i="2"/>
  <c r="H36" i="6"/>
  <c r="I36" i="6"/>
  <c r="G36" i="6"/>
  <c r="G33" i="3"/>
  <c r="H33" i="3"/>
  <c r="I33" i="3" s="1"/>
  <c r="L36" i="6" l="1"/>
  <c r="M36" i="6" s="1"/>
  <c r="G20" i="5"/>
  <c r="I20" i="2"/>
  <c r="M20" i="2" s="1"/>
  <c r="N20" i="2" s="1"/>
  <c r="J36" i="6"/>
  <c r="K36" i="6" s="1"/>
  <c r="D37" i="6" s="1"/>
  <c r="L33" i="3"/>
  <c r="M33" i="3" s="1"/>
  <c r="J33" i="3"/>
  <c r="K33" i="3" s="1"/>
  <c r="D34" i="3" s="1"/>
  <c r="J20" i="2" l="1"/>
  <c r="K20" i="2" s="1"/>
  <c r="H20" i="5"/>
  <c r="I20" i="5" s="1"/>
  <c r="J20" i="5" s="1"/>
  <c r="K20" i="5" s="1"/>
  <c r="G37" i="6"/>
  <c r="H37" i="6"/>
  <c r="I37" i="6" s="1"/>
  <c r="G34" i="3"/>
  <c r="H34" i="3"/>
  <c r="I34" i="3" s="1"/>
  <c r="L37" i="6" l="1"/>
  <c r="M37" i="6" s="1"/>
  <c r="Q20" i="2"/>
  <c r="L20" i="5"/>
  <c r="L20" i="2"/>
  <c r="D21" i="2" s="1"/>
  <c r="J37" i="6"/>
  <c r="K37" i="6" s="1"/>
  <c r="D38" i="6" s="1"/>
  <c r="J34" i="3"/>
  <c r="K34" i="3" s="1"/>
  <c r="D35" i="3" s="1"/>
  <c r="L34" i="3"/>
  <c r="M34" i="3" s="1"/>
  <c r="D21" i="5" l="1"/>
  <c r="G21" i="2"/>
  <c r="G38" i="6"/>
  <c r="H38" i="6"/>
  <c r="I38" i="6" s="1"/>
  <c r="G35" i="3"/>
  <c r="H35" i="3"/>
  <c r="I35" i="3" s="1"/>
  <c r="J35" i="3" s="1"/>
  <c r="K35" i="3" s="1"/>
  <c r="D36" i="3" s="1"/>
  <c r="L38" i="6" l="1"/>
  <c r="M38" i="6" s="1"/>
  <c r="G21" i="5"/>
  <c r="I21" i="2"/>
  <c r="M21" i="2"/>
  <c r="N21" i="2" s="1"/>
  <c r="H36" i="3"/>
  <c r="I36" i="3" s="1"/>
  <c r="G36" i="3"/>
  <c r="J38" i="6"/>
  <c r="K38" i="6" s="1"/>
  <c r="D39" i="6" s="1"/>
  <c r="L35" i="3"/>
  <c r="M35" i="3" s="1"/>
  <c r="J21" i="2" l="1"/>
  <c r="K21" i="2" s="1"/>
  <c r="H21" i="5"/>
  <c r="I21" i="5" s="1"/>
  <c r="J21" i="5" s="1"/>
  <c r="K21" i="5" s="1"/>
  <c r="G39" i="6"/>
  <c r="H39" i="6"/>
  <c r="I39" i="6" s="1"/>
  <c r="J39" i="6" s="1"/>
  <c r="K39" i="6" s="1"/>
  <c r="D40" i="6" s="1"/>
  <c r="J36" i="3"/>
  <c r="K36" i="3" s="1"/>
  <c r="D37" i="3" s="1"/>
  <c r="L36" i="3"/>
  <c r="M36" i="3" s="1"/>
  <c r="Q21" i="2" l="1"/>
  <c r="L21" i="5"/>
  <c r="L21" i="2"/>
  <c r="D22" i="2" s="1"/>
  <c r="H40" i="6"/>
  <c r="I40" i="6" s="1"/>
  <c r="G40" i="6"/>
  <c r="G37" i="3"/>
  <c r="H37" i="3"/>
  <c r="I37" i="3" s="1"/>
  <c r="J37" i="3" s="1"/>
  <c r="K37" i="3" s="1"/>
  <c r="D38" i="3" s="1"/>
  <c r="L39" i="6"/>
  <c r="M39" i="6" s="1"/>
  <c r="L40" i="6" l="1"/>
  <c r="M40" i="6" s="1"/>
  <c r="D22" i="5"/>
  <c r="G22" i="2"/>
  <c r="H38" i="3"/>
  <c r="I38" i="3"/>
  <c r="G38" i="3"/>
  <c r="L38" i="3" s="1"/>
  <c r="M38" i="3" s="1"/>
  <c r="L37" i="3"/>
  <c r="M37" i="3" s="1"/>
  <c r="J40" i="6"/>
  <c r="K40" i="6" s="1"/>
  <c r="D41" i="6" s="1"/>
  <c r="G22" i="5" l="1"/>
  <c r="D9" i="4"/>
  <c r="I22" i="2"/>
  <c r="M22" i="2" s="1"/>
  <c r="N22" i="2" s="1"/>
  <c r="G41" i="6"/>
  <c r="H41" i="6"/>
  <c r="I41" i="6" s="1"/>
  <c r="J38" i="3"/>
  <c r="K38" i="3" s="1"/>
  <c r="D39" i="3" s="1"/>
  <c r="J22" i="2" l="1"/>
  <c r="K22" i="2" s="1"/>
  <c r="H22" i="5"/>
  <c r="I22" i="5" s="1"/>
  <c r="J22" i="5" s="1"/>
  <c r="K22" i="5" s="1"/>
  <c r="G39" i="3"/>
  <c r="H39" i="3"/>
  <c r="I39" i="3" s="1"/>
  <c r="J39" i="3" s="1"/>
  <c r="K39" i="3" s="1"/>
  <c r="D40" i="3" s="1"/>
  <c r="L41" i="6"/>
  <c r="M41" i="6" s="1"/>
  <c r="J41" i="6"/>
  <c r="K41" i="6" s="1"/>
  <c r="D42" i="6" s="1"/>
  <c r="Q22" i="2" l="1"/>
  <c r="L22" i="5"/>
  <c r="L22" i="2"/>
  <c r="D23" i="2" s="1"/>
  <c r="C9" i="4"/>
  <c r="E9" i="4" s="1"/>
  <c r="H40" i="3"/>
  <c r="I40" i="3"/>
  <c r="G40" i="3"/>
  <c r="L40" i="3" s="1"/>
  <c r="M40" i="3" s="1"/>
  <c r="G42" i="6"/>
  <c r="H42" i="6"/>
  <c r="I42" i="6" s="1"/>
  <c r="L39" i="3"/>
  <c r="M39" i="3" s="1"/>
  <c r="B10" i="4" l="1"/>
  <c r="D23" i="5"/>
  <c r="G23" i="2"/>
  <c r="J40" i="3"/>
  <c r="K40" i="3" s="1"/>
  <c r="D41" i="3" s="1"/>
  <c r="J42" i="6"/>
  <c r="K42" i="6" s="1"/>
  <c r="D43" i="6" s="1"/>
  <c r="L42" i="6"/>
  <c r="M42" i="6" s="1"/>
  <c r="G23" i="5" l="1"/>
  <c r="I23" i="2"/>
  <c r="M23" i="2" s="1"/>
  <c r="N23" i="2" s="1"/>
  <c r="G41" i="3"/>
  <c r="H41" i="3"/>
  <c r="I41" i="3" s="1"/>
  <c r="J41" i="3" s="1"/>
  <c r="K41" i="3" s="1"/>
  <c r="D42" i="3" s="1"/>
  <c r="G43" i="6"/>
  <c r="H43" i="6"/>
  <c r="I43" i="6" s="1"/>
  <c r="L41" i="3" l="1"/>
  <c r="M41" i="3" s="1"/>
  <c r="J23" i="2"/>
  <c r="K23" i="2" s="1"/>
  <c r="H23" i="5"/>
  <c r="I23" i="5" s="1"/>
  <c r="J23" i="5" s="1"/>
  <c r="K23" i="5" s="1"/>
  <c r="H42" i="3"/>
  <c r="I42" i="3"/>
  <c r="G42" i="3"/>
  <c r="L42" i="3" s="1"/>
  <c r="M42" i="3" s="1"/>
  <c r="J43" i="6"/>
  <c r="K43" i="6" s="1"/>
  <c r="D44" i="6" s="1"/>
  <c r="L43" i="6"/>
  <c r="M43" i="6" s="1"/>
  <c r="Q23" i="2" l="1"/>
  <c r="L23" i="5"/>
  <c r="L23" i="2"/>
  <c r="D24" i="2" s="1"/>
  <c r="G44" i="6"/>
  <c r="I44" i="6"/>
  <c r="H44" i="6"/>
  <c r="J42" i="3"/>
  <c r="K42" i="3" s="1"/>
  <c r="D43" i="3" s="1"/>
  <c r="L44" i="6" l="1"/>
  <c r="M44" i="6" s="1"/>
  <c r="D24" i="5"/>
  <c r="G24" i="2"/>
  <c r="G43" i="3"/>
  <c r="H43" i="3"/>
  <c r="I43" i="3" s="1"/>
  <c r="J44" i="6"/>
  <c r="K44" i="6" s="1"/>
  <c r="D45" i="6" s="1"/>
  <c r="G24" i="5" l="1"/>
  <c r="I24" i="2"/>
  <c r="M24" i="2" s="1"/>
  <c r="N24" i="2" s="1"/>
  <c r="G45" i="6"/>
  <c r="H45" i="6"/>
  <c r="I45" i="6" s="1"/>
  <c r="J45" i="6" s="1"/>
  <c r="K45" i="6" s="1"/>
  <c r="D46" i="6" s="1"/>
  <c r="L43" i="3"/>
  <c r="M43" i="3" s="1"/>
  <c r="J43" i="3"/>
  <c r="K43" i="3" s="1"/>
  <c r="D44" i="3" s="1"/>
  <c r="J24" i="2" l="1"/>
  <c r="K24" i="2" s="1"/>
  <c r="H24" i="5"/>
  <c r="I24" i="5" s="1"/>
  <c r="J24" i="5" s="1"/>
  <c r="K24" i="5" s="1"/>
  <c r="H46" i="6"/>
  <c r="I46" i="6"/>
  <c r="G46" i="6"/>
  <c r="G44" i="3"/>
  <c r="H44" i="3"/>
  <c r="I44" i="3" s="1"/>
  <c r="L45" i="6"/>
  <c r="M45" i="6" s="1"/>
  <c r="L46" i="6" l="1"/>
  <c r="M46" i="6" s="1"/>
  <c r="Q24" i="2"/>
  <c r="L24" i="5"/>
  <c r="L24" i="2"/>
  <c r="D25" i="2" s="1"/>
  <c r="J46" i="6"/>
  <c r="K46" i="6" s="1"/>
  <c r="D47" i="6" s="1"/>
  <c r="J44" i="3"/>
  <c r="K44" i="3" s="1"/>
  <c r="D45" i="3" s="1"/>
  <c r="L44" i="3"/>
  <c r="M44" i="3" s="1"/>
  <c r="D25" i="5" l="1"/>
  <c r="G25" i="2"/>
  <c r="G47" i="6"/>
  <c r="I47" i="6"/>
  <c r="H47" i="6"/>
  <c r="G45" i="3"/>
  <c r="I45" i="3"/>
  <c r="H45" i="3"/>
  <c r="L47" i="6" l="1"/>
  <c r="M47" i="6" s="1"/>
  <c r="G25" i="5"/>
  <c r="I25" i="2"/>
  <c r="M25" i="2" s="1"/>
  <c r="N25" i="2" s="1"/>
  <c r="J47" i="6"/>
  <c r="K47" i="6" s="1"/>
  <c r="D48" i="6" s="1"/>
  <c r="J45" i="3"/>
  <c r="K45" i="3" s="1"/>
  <c r="D46" i="3" s="1"/>
  <c r="L45" i="3"/>
  <c r="M45" i="3" s="1"/>
  <c r="J25" i="2" l="1"/>
  <c r="K25" i="2" s="1"/>
  <c r="H25" i="5"/>
  <c r="I25" i="5" s="1"/>
  <c r="J25" i="5" s="1"/>
  <c r="K25" i="5" s="1"/>
  <c r="G48" i="6"/>
  <c r="I48" i="6"/>
  <c r="H48" i="6"/>
  <c r="G46" i="3"/>
  <c r="I46" i="3"/>
  <c r="H46" i="3"/>
  <c r="Q25" i="2" l="1"/>
  <c r="L25" i="5"/>
  <c r="L25" i="2"/>
  <c r="D26" i="2" s="1"/>
  <c r="J48" i="6"/>
  <c r="K48" i="6" s="1"/>
  <c r="D49" i="6" s="1"/>
  <c r="L48" i="6"/>
  <c r="M48" i="6" s="1"/>
  <c r="L46" i="3"/>
  <c r="M46" i="3" s="1"/>
  <c r="J46" i="3"/>
  <c r="K46" i="3" s="1"/>
  <c r="D47" i="3" s="1"/>
  <c r="D26" i="5" l="1"/>
  <c r="G26" i="2"/>
  <c r="G49" i="6"/>
  <c r="H49" i="6"/>
  <c r="I49" i="6" s="1"/>
  <c r="J49" i="6" s="1"/>
  <c r="K49" i="6" s="1"/>
  <c r="D50" i="6" s="1"/>
  <c r="G47" i="3"/>
  <c r="H47" i="3"/>
  <c r="I47" i="3" s="1"/>
  <c r="J47" i="3" s="1"/>
  <c r="K47" i="3" s="1"/>
  <c r="D48" i="3" s="1"/>
  <c r="G26" i="5" l="1"/>
  <c r="D10" i="4"/>
  <c r="I26" i="2"/>
  <c r="M26" i="2" s="1"/>
  <c r="N26" i="2" s="1"/>
  <c r="H50" i="6"/>
  <c r="I50" i="6" s="1"/>
  <c r="G50" i="6"/>
  <c r="H48" i="3"/>
  <c r="I48" i="3"/>
  <c r="G48" i="3"/>
  <c r="L48" i="3" s="1"/>
  <c r="M48" i="3" s="1"/>
  <c r="L49" i="6"/>
  <c r="M49" i="6" s="1"/>
  <c r="L47" i="3"/>
  <c r="M47" i="3" s="1"/>
  <c r="L50" i="6" l="1"/>
  <c r="M50" i="6" s="1"/>
  <c r="J26" i="2"/>
  <c r="K26" i="2" s="1"/>
  <c r="H26" i="5"/>
  <c r="I26" i="5" s="1"/>
  <c r="J26" i="5" s="1"/>
  <c r="K26" i="5" s="1"/>
  <c r="J50" i="6"/>
  <c r="K50" i="6" s="1"/>
  <c r="D51" i="6" s="1"/>
  <c r="J48" i="3"/>
  <c r="K48" i="3" s="1"/>
  <c r="D49" i="3" s="1"/>
  <c r="Q26" i="2" l="1"/>
  <c r="L26" i="5"/>
  <c r="L26" i="2"/>
  <c r="D27" i="2" s="1"/>
  <c r="C10" i="4"/>
  <c r="E10" i="4" s="1"/>
  <c r="G51" i="6"/>
  <c r="H51" i="6"/>
  <c r="I51" i="6" s="1"/>
  <c r="G49" i="3"/>
  <c r="I49" i="3"/>
  <c r="H49" i="3"/>
  <c r="L49" i="3" l="1"/>
  <c r="M49" i="3" s="1"/>
  <c r="D27" i="5"/>
  <c r="B11" i="4"/>
  <c r="G27" i="2"/>
  <c r="L51" i="6"/>
  <c r="M51" i="6" s="1"/>
  <c r="J51" i="6"/>
  <c r="K51" i="6" s="1"/>
  <c r="D52" i="6" s="1"/>
  <c r="J49" i="3"/>
  <c r="K49" i="3" s="1"/>
  <c r="D50" i="3" s="1"/>
  <c r="G27" i="5" l="1"/>
  <c r="I27" i="2"/>
  <c r="M27" i="2" s="1"/>
  <c r="N27" i="2" s="1"/>
  <c r="G52" i="6"/>
  <c r="H52" i="6"/>
  <c r="I52" i="6" s="1"/>
  <c r="G50" i="3"/>
  <c r="H50" i="3"/>
  <c r="I50" i="3" s="1"/>
  <c r="J50" i="3" s="1"/>
  <c r="K50" i="3" s="1"/>
  <c r="D51" i="3" s="1"/>
  <c r="L50" i="3" l="1"/>
  <c r="M50" i="3" s="1"/>
  <c r="J27" i="2"/>
  <c r="K27" i="2" s="1"/>
  <c r="H27" i="5"/>
  <c r="I27" i="5" s="1"/>
  <c r="J27" i="5" s="1"/>
  <c r="K27" i="5" s="1"/>
  <c r="H51" i="3"/>
  <c r="I51" i="3" s="1"/>
  <c r="G51" i="3"/>
  <c r="L51" i="3" s="1"/>
  <c r="M51" i="3" s="1"/>
  <c r="L52" i="6"/>
  <c r="M52" i="6" s="1"/>
  <c r="J52" i="6"/>
  <c r="K52" i="6" s="1"/>
  <c r="D53" i="6" s="1"/>
  <c r="Q27" i="2" l="1"/>
  <c r="L27" i="5"/>
  <c r="L27" i="2"/>
  <c r="D28" i="2" s="1"/>
  <c r="G53" i="6"/>
  <c r="H53" i="6"/>
  <c r="I53" i="6" s="1"/>
  <c r="J53" i="6" s="1"/>
  <c r="K53" i="6" s="1"/>
  <c r="D54" i="6" s="1"/>
  <c r="J51" i="3"/>
  <c r="K51" i="3" s="1"/>
  <c r="D52" i="3" s="1"/>
  <c r="D28" i="5" l="1"/>
  <c r="G28" i="2"/>
  <c r="H54" i="6"/>
  <c r="I54" i="6"/>
  <c r="G54" i="6"/>
  <c r="G52" i="3"/>
  <c r="H52" i="3"/>
  <c r="I52" i="3" s="1"/>
  <c r="L53" i="6"/>
  <c r="M53" i="6" s="1"/>
  <c r="L54" i="6" l="1"/>
  <c r="M54" i="6" s="1"/>
  <c r="L52" i="3"/>
  <c r="M52" i="3" s="1"/>
  <c r="G28" i="5"/>
  <c r="I28" i="2"/>
  <c r="M28" i="2" s="1"/>
  <c r="N28" i="2" s="1"/>
  <c r="J52" i="3"/>
  <c r="K52" i="3" s="1"/>
  <c r="D53" i="3" s="1"/>
  <c r="J54" i="6"/>
  <c r="K54" i="6" s="1"/>
  <c r="D55" i="6" s="1"/>
  <c r="J28" i="2" l="1"/>
  <c r="K28" i="2" s="1"/>
  <c r="H28" i="5"/>
  <c r="I28" i="5" s="1"/>
  <c r="J28" i="5" s="1"/>
  <c r="K28" i="5" s="1"/>
  <c r="G53" i="3"/>
  <c r="H53" i="3"/>
  <c r="I53" i="3" s="1"/>
  <c r="J53" i="3" s="1"/>
  <c r="K53" i="3" s="1"/>
  <c r="D54" i="3" s="1"/>
  <c r="G55" i="6"/>
  <c r="H55" i="6"/>
  <c r="I55" i="6" s="1"/>
  <c r="J55" i="6" s="1"/>
  <c r="K55" i="6" s="1"/>
  <c r="D56" i="6" s="1"/>
  <c r="Q28" i="2" l="1"/>
  <c r="L28" i="5"/>
  <c r="L28" i="2"/>
  <c r="D29" i="2" s="1"/>
  <c r="H54" i="3"/>
  <c r="I54" i="3"/>
  <c r="G54" i="3"/>
  <c r="H56" i="6"/>
  <c r="I56" i="6"/>
  <c r="G56" i="6"/>
  <c r="L53" i="3"/>
  <c r="M53" i="3" s="1"/>
  <c r="L55" i="6"/>
  <c r="M55" i="6" s="1"/>
  <c r="L56" i="6" l="1"/>
  <c r="M56" i="6" s="1"/>
  <c r="L54" i="3"/>
  <c r="M54" i="3" s="1"/>
  <c r="D29" i="5"/>
  <c r="G29" i="2"/>
  <c r="J56" i="6"/>
  <c r="K56" i="6" s="1"/>
  <c r="D57" i="6" s="1"/>
  <c r="J54" i="3"/>
  <c r="K54" i="3" s="1"/>
  <c r="D55" i="3" s="1"/>
  <c r="G29" i="5" l="1"/>
  <c r="I29" i="2"/>
  <c r="M29" i="2" s="1"/>
  <c r="N29" i="2" s="1"/>
  <c r="G57" i="6"/>
  <c r="H57" i="6"/>
  <c r="I57" i="6" s="1"/>
  <c r="G55" i="3"/>
  <c r="H55" i="3"/>
  <c r="I55" i="3" s="1"/>
  <c r="J29" i="2" l="1"/>
  <c r="K29" i="2" s="1"/>
  <c r="H29" i="5"/>
  <c r="I29" i="5" s="1"/>
  <c r="J29" i="5" s="1"/>
  <c r="K29" i="5" s="1"/>
  <c r="L57" i="6"/>
  <c r="M57" i="6" s="1"/>
  <c r="J57" i="6"/>
  <c r="K57" i="6" s="1"/>
  <c r="D58" i="6" s="1"/>
  <c r="J55" i="3"/>
  <c r="K55" i="3" s="1"/>
  <c r="D56" i="3" s="1"/>
  <c r="L55" i="3"/>
  <c r="M55" i="3" s="1"/>
  <c r="Q29" i="2" l="1"/>
  <c r="L29" i="5"/>
  <c r="L29" i="2"/>
  <c r="D30" i="2" s="1"/>
  <c r="G58" i="6"/>
  <c r="H58" i="6"/>
  <c r="I58" i="6" s="1"/>
  <c r="J58" i="6" s="1"/>
  <c r="K58" i="6" s="1"/>
  <c r="D59" i="6" s="1"/>
  <c r="G56" i="3"/>
  <c r="H56" i="3"/>
  <c r="I56" i="3" s="1"/>
  <c r="J56" i="3" s="1"/>
  <c r="K56" i="3" s="1"/>
  <c r="D57" i="3" s="1"/>
  <c r="D30" i="5" l="1"/>
  <c r="G30" i="2"/>
  <c r="H59" i="6"/>
  <c r="I59" i="6"/>
  <c r="I109" i="6" s="1"/>
  <c r="G59" i="6"/>
  <c r="H57" i="3"/>
  <c r="I57" i="3"/>
  <c r="G57" i="3"/>
  <c r="L58" i="6"/>
  <c r="M58" i="6" s="1"/>
  <c r="L56" i="3"/>
  <c r="M56" i="3" s="1"/>
  <c r="L57" i="3" l="1"/>
  <c r="M57" i="3" s="1"/>
  <c r="G30" i="5"/>
  <c r="D11" i="4"/>
  <c r="I30" i="2"/>
  <c r="M30" i="2" s="1"/>
  <c r="N30" i="2" s="1"/>
  <c r="H109" i="6"/>
  <c r="J59" i="6"/>
  <c r="L59" i="6"/>
  <c r="M59" i="6" s="1"/>
  <c r="J57" i="3"/>
  <c r="K57" i="3" s="1"/>
  <c r="D58" i="3" s="1"/>
  <c r="J30" i="2" l="1"/>
  <c r="K30" i="2" s="1"/>
  <c r="H30" i="5"/>
  <c r="I30" i="5" s="1"/>
  <c r="J30" i="5" s="1"/>
  <c r="K30" i="5" s="1"/>
  <c r="K59" i="6"/>
  <c r="D60" i="6" s="1"/>
  <c r="J109" i="6"/>
  <c r="G58" i="3"/>
  <c r="H58" i="3"/>
  <c r="I58" i="3" s="1"/>
  <c r="I108" i="3" s="1"/>
  <c r="L58" i="3" l="1"/>
  <c r="M58" i="3" s="1"/>
  <c r="Q30" i="2"/>
  <c r="L30" i="5"/>
  <c r="L30" i="2"/>
  <c r="D31" i="2" s="1"/>
  <c r="C11" i="4"/>
  <c r="E11" i="4" s="1"/>
  <c r="K60" i="6"/>
  <c r="D61" i="6" s="1"/>
  <c r="G60" i="6"/>
  <c r="L60" i="6" s="1"/>
  <c r="J58" i="3"/>
  <c r="H108" i="3"/>
  <c r="D31" i="5" l="1"/>
  <c r="B12" i="4"/>
  <c r="G31" i="2"/>
  <c r="G61" i="6"/>
  <c r="L61" i="6" s="1"/>
  <c r="K61" i="6"/>
  <c r="D62" i="6" s="1"/>
  <c r="K58" i="3"/>
  <c r="D59" i="3" s="1"/>
  <c r="J108" i="3"/>
  <c r="G31" i="5" l="1"/>
  <c r="I31" i="2"/>
  <c r="M31" i="2" s="1"/>
  <c r="N31" i="2" s="1"/>
  <c r="G62" i="6"/>
  <c r="L62" i="6" s="1"/>
  <c r="K62" i="6"/>
  <c r="D63" i="6" s="1"/>
  <c r="K59" i="3"/>
  <c r="D60" i="3" s="1"/>
  <c r="G59" i="3"/>
  <c r="L59" i="3" s="1"/>
  <c r="J31" i="2" l="1"/>
  <c r="K31" i="2" s="1"/>
  <c r="H31" i="5"/>
  <c r="I31" i="5" s="1"/>
  <c r="J31" i="5" s="1"/>
  <c r="K31" i="5" s="1"/>
  <c r="G63" i="6"/>
  <c r="L63" i="6" s="1"/>
  <c r="K63" i="6"/>
  <c r="D64" i="6" s="1"/>
  <c r="G60" i="3"/>
  <c r="L60" i="3" s="1"/>
  <c r="K60" i="3"/>
  <c r="D61" i="3" s="1"/>
  <c r="Q31" i="2" l="1"/>
  <c r="L31" i="5"/>
  <c r="L31" i="2"/>
  <c r="D32" i="2" s="1"/>
  <c r="G64" i="6"/>
  <c r="L64" i="6" s="1"/>
  <c r="K64" i="6"/>
  <c r="D65" i="6" s="1"/>
  <c r="G61" i="3"/>
  <c r="L61" i="3" s="1"/>
  <c r="K61" i="3"/>
  <c r="D62" i="3" s="1"/>
  <c r="D32" i="5" l="1"/>
  <c r="G32" i="2"/>
  <c r="G65" i="6"/>
  <c r="L65" i="6" s="1"/>
  <c r="K65" i="6"/>
  <c r="D66" i="6" s="1"/>
  <c r="G62" i="3"/>
  <c r="L62" i="3" s="1"/>
  <c r="K62" i="3"/>
  <c r="D63" i="3" s="1"/>
  <c r="G32" i="5" l="1"/>
  <c r="I32" i="2"/>
  <c r="M32" i="2" s="1"/>
  <c r="N32" i="2" s="1"/>
  <c r="G66" i="6"/>
  <c r="L66" i="6" s="1"/>
  <c r="K66" i="6"/>
  <c r="D67" i="6" s="1"/>
  <c r="G63" i="3"/>
  <c r="L63" i="3" s="1"/>
  <c r="K63" i="3"/>
  <c r="D64" i="3" s="1"/>
  <c r="J32" i="2" l="1"/>
  <c r="K32" i="2" s="1"/>
  <c r="H32" i="5"/>
  <c r="I32" i="5" s="1"/>
  <c r="J32" i="5" s="1"/>
  <c r="K32" i="5" s="1"/>
  <c r="G67" i="6"/>
  <c r="L67" i="6" s="1"/>
  <c r="K67" i="6"/>
  <c r="D68" i="6" s="1"/>
  <c r="G64" i="3"/>
  <c r="L64" i="3" s="1"/>
  <c r="K64" i="3"/>
  <c r="D65" i="3" s="1"/>
  <c r="Q32" i="2" l="1"/>
  <c r="L32" i="5"/>
  <c r="L32" i="2"/>
  <c r="D33" i="2" s="1"/>
  <c r="G68" i="6"/>
  <c r="L68" i="6" s="1"/>
  <c r="K68" i="6"/>
  <c r="D69" i="6" s="1"/>
  <c r="G65" i="3"/>
  <c r="L65" i="3" s="1"/>
  <c r="K65" i="3"/>
  <c r="D66" i="3" s="1"/>
  <c r="G33" i="2" l="1"/>
  <c r="D33" i="5"/>
  <c r="G69" i="6"/>
  <c r="L69" i="6" s="1"/>
  <c r="K69" i="6"/>
  <c r="D70" i="6" s="1"/>
  <c r="G66" i="3"/>
  <c r="L66" i="3" s="1"/>
  <c r="K66" i="3"/>
  <c r="D67" i="3" s="1"/>
  <c r="I33" i="2" l="1"/>
  <c r="M33" i="2" s="1"/>
  <c r="N33" i="2" s="1"/>
  <c r="G33" i="5"/>
  <c r="G70" i="6"/>
  <c r="L70" i="6" s="1"/>
  <c r="K70" i="6"/>
  <c r="D71" i="6" s="1"/>
  <c r="G67" i="3"/>
  <c r="L67" i="3" s="1"/>
  <c r="K67" i="3"/>
  <c r="D68" i="3" s="1"/>
  <c r="J33" i="2" l="1"/>
  <c r="K33" i="2" s="1"/>
  <c r="H33" i="5"/>
  <c r="I33" i="5" s="1"/>
  <c r="J33" i="5" s="1"/>
  <c r="K33" i="5" s="1"/>
  <c r="G71" i="6"/>
  <c r="L71" i="6" s="1"/>
  <c r="K71" i="6"/>
  <c r="D72" i="6" s="1"/>
  <c r="G68" i="3"/>
  <c r="L68" i="3" s="1"/>
  <c r="K68" i="3"/>
  <c r="D69" i="3" s="1"/>
  <c r="Q33" i="2" l="1"/>
  <c r="L33" i="5"/>
  <c r="L33" i="2"/>
  <c r="D34" i="2" s="1"/>
  <c r="G72" i="6"/>
  <c r="L72" i="6" s="1"/>
  <c r="K72" i="6"/>
  <c r="D73" i="6" s="1"/>
  <c r="G69" i="3"/>
  <c r="L69" i="3" s="1"/>
  <c r="K69" i="3"/>
  <c r="D70" i="3" s="1"/>
  <c r="D34" i="5" l="1"/>
  <c r="G34" i="2"/>
  <c r="G73" i="6"/>
  <c r="L73" i="6" s="1"/>
  <c r="K73" i="6"/>
  <c r="D74" i="6" s="1"/>
  <c r="G70" i="3"/>
  <c r="L70" i="3" s="1"/>
  <c r="K70" i="3"/>
  <c r="D71" i="3" s="1"/>
  <c r="G34" i="5" l="1"/>
  <c r="D12" i="4"/>
  <c r="I34" i="2"/>
  <c r="M34" i="2" s="1"/>
  <c r="N34" i="2" s="1"/>
  <c r="G74" i="6"/>
  <c r="L74" i="6" s="1"/>
  <c r="K74" i="6"/>
  <c r="D75" i="6" s="1"/>
  <c r="G71" i="3"/>
  <c r="L71" i="3" s="1"/>
  <c r="K71" i="3"/>
  <c r="D72" i="3" s="1"/>
  <c r="J34" i="2" l="1"/>
  <c r="K34" i="2" s="1"/>
  <c r="H34" i="5"/>
  <c r="I34" i="5" s="1"/>
  <c r="J34" i="5" s="1"/>
  <c r="K34" i="5" s="1"/>
  <c r="G75" i="6"/>
  <c r="L75" i="6" s="1"/>
  <c r="K75" i="6"/>
  <c r="D76" i="6" s="1"/>
  <c r="G72" i="3"/>
  <c r="L72" i="3" s="1"/>
  <c r="K72" i="3"/>
  <c r="D73" i="3" s="1"/>
  <c r="L34" i="5" l="1"/>
  <c r="Q34" i="2"/>
  <c r="L34" i="2"/>
  <c r="D35" i="2" s="1"/>
  <c r="C12" i="4"/>
  <c r="E12" i="4" s="1"/>
  <c r="G76" i="6"/>
  <c r="L76" i="6" s="1"/>
  <c r="K76" i="6"/>
  <c r="D77" i="6" s="1"/>
  <c r="G73" i="3"/>
  <c r="L73" i="3" s="1"/>
  <c r="K73" i="3"/>
  <c r="D74" i="3" s="1"/>
  <c r="D35" i="5" l="1"/>
  <c r="B13" i="4"/>
  <c r="G35" i="2"/>
  <c r="G77" i="6"/>
  <c r="L77" i="6" s="1"/>
  <c r="K77" i="6"/>
  <c r="D78" i="6" s="1"/>
  <c r="G74" i="3"/>
  <c r="L74" i="3" s="1"/>
  <c r="K74" i="3"/>
  <c r="D75" i="3" s="1"/>
  <c r="G35" i="5" l="1"/>
  <c r="I35" i="2"/>
  <c r="M35" i="2" s="1"/>
  <c r="N35" i="2" s="1"/>
  <c r="G78" i="6"/>
  <c r="L78" i="6" s="1"/>
  <c r="K78" i="6"/>
  <c r="D79" i="6" s="1"/>
  <c r="G75" i="3"/>
  <c r="L75" i="3" s="1"/>
  <c r="K75" i="3"/>
  <c r="D76" i="3" s="1"/>
  <c r="J35" i="2" l="1"/>
  <c r="K35" i="2" s="1"/>
  <c r="H35" i="5"/>
  <c r="I35" i="5" s="1"/>
  <c r="J35" i="5" s="1"/>
  <c r="K35" i="5" s="1"/>
  <c r="G79" i="6"/>
  <c r="L79" i="6" s="1"/>
  <c r="K79" i="6"/>
  <c r="D80" i="6" s="1"/>
  <c r="G76" i="3"/>
  <c r="L76" i="3" s="1"/>
  <c r="K76" i="3"/>
  <c r="D77" i="3" s="1"/>
  <c r="L35" i="5" l="1"/>
  <c r="Q35" i="2"/>
  <c r="L35" i="2"/>
  <c r="D36" i="2" s="1"/>
  <c r="G80" i="6"/>
  <c r="L80" i="6" s="1"/>
  <c r="K80" i="6"/>
  <c r="D81" i="6" s="1"/>
  <c r="G77" i="3"/>
  <c r="L77" i="3" s="1"/>
  <c r="K77" i="3"/>
  <c r="D78" i="3" s="1"/>
  <c r="D36" i="5" l="1"/>
  <c r="G36" i="2"/>
  <c r="G81" i="6"/>
  <c r="L81" i="6" s="1"/>
  <c r="K81" i="6"/>
  <c r="D82" i="6" s="1"/>
  <c r="G78" i="3"/>
  <c r="L78" i="3" s="1"/>
  <c r="K78" i="3"/>
  <c r="D79" i="3" s="1"/>
  <c r="G36" i="5" l="1"/>
  <c r="I36" i="2"/>
  <c r="M36" i="2" s="1"/>
  <c r="N36" i="2" s="1"/>
  <c r="G82" i="6"/>
  <c r="L82" i="6" s="1"/>
  <c r="K82" i="6"/>
  <c r="D83" i="6" s="1"/>
  <c r="G79" i="3"/>
  <c r="L79" i="3" s="1"/>
  <c r="K79" i="3"/>
  <c r="D80" i="3" s="1"/>
  <c r="J36" i="2" l="1"/>
  <c r="K36" i="2" s="1"/>
  <c r="H36" i="5"/>
  <c r="I36" i="5" s="1"/>
  <c r="J36" i="5" s="1"/>
  <c r="K36" i="5" s="1"/>
  <c r="G83" i="6"/>
  <c r="L83" i="6" s="1"/>
  <c r="K83" i="6"/>
  <c r="D84" i="6" s="1"/>
  <c r="G80" i="3"/>
  <c r="L80" i="3" s="1"/>
  <c r="K80" i="3"/>
  <c r="D81" i="3" s="1"/>
  <c r="Q36" i="2" l="1"/>
  <c r="L36" i="5"/>
  <c r="L36" i="2"/>
  <c r="D37" i="2" s="1"/>
  <c r="G84" i="6"/>
  <c r="L84" i="6" s="1"/>
  <c r="K84" i="6"/>
  <c r="D85" i="6" s="1"/>
  <c r="G81" i="3"/>
  <c r="L81" i="3" s="1"/>
  <c r="K81" i="3"/>
  <c r="D82" i="3" s="1"/>
  <c r="D37" i="5" l="1"/>
  <c r="G37" i="2"/>
  <c r="G85" i="6"/>
  <c r="L85" i="6" s="1"/>
  <c r="K85" i="6"/>
  <c r="D86" i="6" s="1"/>
  <c r="G82" i="3"/>
  <c r="L82" i="3" s="1"/>
  <c r="K82" i="3"/>
  <c r="D83" i="3" s="1"/>
  <c r="G37" i="5" l="1"/>
  <c r="I37" i="2"/>
  <c r="M37" i="2" s="1"/>
  <c r="N37" i="2" s="1"/>
  <c r="G86" i="6"/>
  <c r="L86" i="6" s="1"/>
  <c r="K86" i="6"/>
  <c r="D87" i="6" s="1"/>
  <c r="G83" i="3"/>
  <c r="L83" i="3" s="1"/>
  <c r="K83" i="3"/>
  <c r="D84" i="3" s="1"/>
  <c r="J37" i="2" l="1"/>
  <c r="K37" i="2" s="1"/>
  <c r="H37" i="5"/>
  <c r="I37" i="5" s="1"/>
  <c r="J37" i="5" s="1"/>
  <c r="K37" i="5" s="1"/>
  <c r="G87" i="6"/>
  <c r="L87" i="6" s="1"/>
  <c r="K87" i="6"/>
  <c r="D88" i="6" s="1"/>
  <c r="G84" i="3"/>
  <c r="L84" i="3" s="1"/>
  <c r="K84" i="3"/>
  <c r="D85" i="3" s="1"/>
  <c r="Q37" i="2" l="1"/>
  <c r="L37" i="5"/>
  <c r="L37" i="2"/>
  <c r="D38" i="2" s="1"/>
  <c r="G88" i="6"/>
  <c r="L88" i="6" s="1"/>
  <c r="K88" i="6"/>
  <c r="D89" i="6" s="1"/>
  <c r="G85" i="3"/>
  <c r="L85" i="3" s="1"/>
  <c r="K85" i="3"/>
  <c r="D86" i="3" s="1"/>
  <c r="D38" i="5" l="1"/>
  <c r="G38" i="2"/>
  <c r="G89" i="6"/>
  <c r="L89" i="6" s="1"/>
  <c r="K89" i="6"/>
  <c r="D90" i="6" s="1"/>
  <c r="G86" i="3"/>
  <c r="L86" i="3" s="1"/>
  <c r="K86" i="3"/>
  <c r="D87" i="3" s="1"/>
  <c r="G38" i="5" l="1"/>
  <c r="D13" i="4"/>
  <c r="I38" i="2"/>
  <c r="M38" i="2" s="1"/>
  <c r="N38" i="2" s="1"/>
  <c r="G90" i="6"/>
  <c r="L90" i="6" s="1"/>
  <c r="K90" i="6"/>
  <c r="D91" i="6" s="1"/>
  <c r="G87" i="3"/>
  <c r="L87" i="3" s="1"/>
  <c r="K87" i="3"/>
  <c r="D88" i="3" s="1"/>
  <c r="J38" i="2" l="1"/>
  <c r="K38" i="2" s="1"/>
  <c r="H38" i="5"/>
  <c r="I38" i="5" s="1"/>
  <c r="J38" i="5" s="1"/>
  <c r="K38" i="5" s="1"/>
  <c r="G91" i="6"/>
  <c r="L91" i="6" s="1"/>
  <c r="K91" i="6"/>
  <c r="D92" i="6" s="1"/>
  <c r="G88" i="3"/>
  <c r="L88" i="3" s="1"/>
  <c r="K88" i="3"/>
  <c r="D89" i="3" s="1"/>
  <c r="Q38" i="2" l="1"/>
  <c r="L38" i="5"/>
  <c r="L38" i="2"/>
  <c r="D39" i="2" s="1"/>
  <c r="C13" i="4"/>
  <c r="E13" i="4" s="1"/>
  <c r="G92" i="6"/>
  <c r="L92" i="6" s="1"/>
  <c r="K92" i="6"/>
  <c r="D93" i="6" s="1"/>
  <c r="G89" i="3"/>
  <c r="L89" i="3" s="1"/>
  <c r="K89" i="3"/>
  <c r="D90" i="3" s="1"/>
  <c r="D39" i="5" l="1"/>
  <c r="B14" i="4"/>
  <c r="G39" i="2"/>
  <c r="G93" i="6"/>
  <c r="L93" i="6" s="1"/>
  <c r="K93" i="6"/>
  <c r="D94" i="6" s="1"/>
  <c r="G90" i="3"/>
  <c r="L90" i="3" s="1"/>
  <c r="K90" i="3"/>
  <c r="D91" i="3" s="1"/>
  <c r="G39" i="5" l="1"/>
  <c r="I39" i="2"/>
  <c r="M39" i="2" s="1"/>
  <c r="N39" i="2" s="1"/>
  <c r="G94" i="6"/>
  <c r="L94" i="6" s="1"/>
  <c r="K94" i="6"/>
  <c r="D95" i="6" s="1"/>
  <c r="G91" i="3"/>
  <c r="L91" i="3" s="1"/>
  <c r="K91" i="3"/>
  <c r="D92" i="3" s="1"/>
  <c r="J39" i="2" l="1"/>
  <c r="K39" i="2" s="1"/>
  <c r="H39" i="5"/>
  <c r="I39" i="5" s="1"/>
  <c r="J39" i="5" s="1"/>
  <c r="K39" i="5" s="1"/>
  <c r="G95" i="6"/>
  <c r="L95" i="6" s="1"/>
  <c r="K95" i="6"/>
  <c r="D96" i="6" s="1"/>
  <c r="G92" i="3"/>
  <c r="L92" i="3" s="1"/>
  <c r="K92" i="3"/>
  <c r="D93" i="3" s="1"/>
  <c r="Q39" i="2" l="1"/>
  <c r="L39" i="5"/>
  <c r="L39" i="2"/>
  <c r="D40" i="2" s="1"/>
  <c r="G96" i="6"/>
  <c r="L96" i="6" s="1"/>
  <c r="K96" i="6"/>
  <c r="D97" i="6" s="1"/>
  <c r="G93" i="3"/>
  <c r="L93" i="3" s="1"/>
  <c r="K93" i="3"/>
  <c r="D94" i="3" s="1"/>
  <c r="D40" i="5" l="1"/>
  <c r="G40" i="2"/>
  <c r="G97" i="6"/>
  <c r="L97" i="6" s="1"/>
  <c r="K97" i="6"/>
  <c r="D98" i="6" s="1"/>
  <c r="G94" i="3"/>
  <c r="L94" i="3" s="1"/>
  <c r="K94" i="3"/>
  <c r="D95" i="3" s="1"/>
  <c r="G40" i="5" l="1"/>
  <c r="I40" i="2"/>
  <c r="M40" i="2" s="1"/>
  <c r="N40" i="2" s="1"/>
  <c r="G98" i="6"/>
  <c r="L98" i="6" s="1"/>
  <c r="K98" i="6"/>
  <c r="D99" i="6" s="1"/>
  <c r="G95" i="3"/>
  <c r="L95" i="3" s="1"/>
  <c r="K95" i="3"/>
  <c r="D96" i="3" s="1"/>
  <c r="J40" i="2" l="1"/>
  <c r="K40" i="2" s="1"/>
  <c r="H40" i="5"/>
  <c r="I40" i="5" s="1"/>
  <c r="J40" i="5" s="1"/>
  <c r="K40" i="5" s="1"/>
  <c r="G99" i="6"/>
  <c r="L99" i="6" s="1"/>
  <c r="K99" i="6"/>
  <c r="D100" i="6" s="1"/>
  <c r="G96" i="3"/>
  <c r="L96" i="3" s="1"/>
  <c r="K96" i="3"/>
  <c r="D97" i="3" s="1"/>
  <c r="L40" i="5" l="1"/>
  <c r="Q40" i="2"/>
  <c r="L40" i="2"/>
  <c r="D41" i="2" s="1"/>
  <c r="G100" i="6"/>
  <c r="L100" i="6" s="1"/>
  <c r="K100" i="6"/>
  <c r="D101" i="6" s="1"/>
  <c r="G97" i="3"/>
  <c r="L97" i="3" s="1"/>
  <c r="K97" i="3"/>
  <c r="D98" i="3" s="1"/>
  <c r="D41" i="5" l="1"/>
  <c r="G41" i="2"/>
  <c r="G101" i="6"/>
  <c r="L101" i="6" s="1"/>
  <c r="K101" i="6"/>
  <c r="D102" i="6" s="1"/>
  <c r="K98" i="3"/>
  <c r="D99" i="3" s="1"/>
  <c r="G98" i="3"/>
  <c r="L98" i="3" s="1"/>
  <c r="G41" i="5" l="1"/>
  <c r="I41" i="2"/>
  <c r="M41" i="2" s="1"/>
  <c r="N41" i="2" s="1"/>
  <c r="G102" i="6"/>
  <c r="L102" i="6" s="1"/>
  <c r="K102" i="6"/>
  <c r="D103" i="6" s="1"/>
  <c r="G99" i="3"/>
  <c r="L99" i="3" s="1"/>
  <c r="K99" i="3"/>
  <c r="D100" i="3" s="1"/>
  <c r="J41" i="2" l="1"/>
  <c r="K41" i="2" s="1"/>
  <c r="H41" i="5"/>
  <c r="I41" i="5" s="1"/>
  <c r="J41" i="5" s="1"/>
  <c r="K41" i="5" s="1"/>
  <c r="G103" i="6"/>
  <c r="L103" i="6" s="1"/>
  <c r="K103" i="6"/>
  <c r="D104" i="6" s="1"/>
  <c r="G100" i="3"/>
  <c r="L100" i="3" s="1"/>
  <c r="K100" i="3"/>
  <c r="D101" i="3" s="1"/>
  <c r="Q41" i="2" l="1"/>
  <c r="L41" i="5"/>
  <c r="L41" i="2"/>
  <c r="D42" i="2" s="1"/>
  <c r="G104" i="6"/>
  <c r="L104" i="6" s="1"/>
  <c r="K104" i="6"/>
  <c r="D105" i="6" s="1"/>
  <c r="K101" i="3"/>
  <c r="D102" i="3" s="1"/>
  <c r="G101" i="3"/>
  <c r="L101" i="3" s="1"/>
  <c r="D42" i="5" l="1"/>
  <c r="G42" i="2"/>
  <c r="G105" i="6"/>
  <c r="L105" i="6" s="1"/>
  <c r="K105" i="6"/>
  <c r="D106" i="6" s="1"/>
  <c r="G102" i="3"/>
  <c r="L102" i="3" s="1"/>
  <c r="K102" i="3"/>
  <c r="D103" i="3" s="1"/>
  <c r="G42" i="5" l="1"/>
  <c r="D14" i="4"/>
  <c r="I42" i="2"/>
  <c r="M42" i="2" s="1"/>
  <c r="N42" i="2" s="1"/>
  <c r="G106" i="6"/>
  <c r="L106" i="6" s="1"/>
  <c r="K106" i="6"/>
  <c r="D107" i="6" s="1"/>
  <c r="G103" i="3"/>
  <c r="L103" i="3" s="1"/>
  <c r="K103" i="3"/>
  <c r="D104" i="3" s="1"/>
  <c r="J42" i="2" l="1"/>
  <c r="K42" i="2" s="1"/>
  <c r="H42" i="5"/>
  <c r="I42" i="5" s="1"/>
  <c r="J42" i="5" s="1"/>
  <c r="K42" i="5" s="1"/>
  <c r="G107" i="6"/>
  <c r="L107" i="6" s="1"/>
  <c r="K107" i="6"/>
  <c r="D108" i="6" s="1"/>
  <c r="G104" i="3"/>
  <c r="L104" i="3" s="1"/>
  <c r="K104" i="3"/>
  <c r="D105" i="3" s="1"/>
  <c r="Q42" i="2" l="1"/>
  <c r="L42" i="5"/>
  <c r="L42" i="2"/>
  <c r="D43" i="2" s="1"/>
  <c r="C14" i="4"/>
  <c r="E14" i="4" s="1"/>
  <c r="G108" i="6"/>
  <c r="K108" i="6"/>
  <c r="K109" i="6" s="1"/>
  <c r="G105" i="3"/>
  <c r="L105" i="3" s="1"/>
  <c r="K105" i="3"/>
  <c r="D106" i="3" s="1"/>
  <c r="D43" i="5" l="1"/>
  <c r="B15" i="4"/>
  <c r="G43" i="2"/>
  <c r="G109" i="6"/>
  <c r="L108" i="6"/>
  <c r="K106" i="3"/>
  <c r="D107" i="3" s="1"/>
  <c r="G106" i="3"/>
  <c r="L106" i="3" s="1"/>
  <c r="G43" i="5" l="1"/>
  <c r="I43" i="2"/>
  <c r="M43" i="2" s="1"/>
  <c r="N43" i="2" s="1"/>
  <c r="G107" i="3"/>
  <c r="K107" i="3"/>
  <c r="K108" i="3" s="1"/>
  <c r="J43" i="2" l="1"/>
  <c r="K43" i="2" s="1"/>
  <c r="H43" i="5"/>
  <c r="I43" i="5" s="1"/>
  <c r="J43" i="5" s="1"/>
  <c r="K43" i="5" s="1"/>
  <c r="G108" i="3"/>
  <c r="L107" i="3"/>
  <c r="Q43" i="2" l="1"/>
  <c r="L43" i="5"/>
  <c r="L43" i="2"/>
  <c r="D44" i="2" s="1"/>
  <c r="D44" i="5" l="1"/>
  <c r="G44" i="2"/>
  <c r="G44" i="5" l="1"/>
  <c r="I44" i="2"/>
  <c r="M44" i="2" s="1"/>
  <c r="N44" i="2" s="1"/>
  <c r="J44" i="2" l="1"/>
  <c r="K44" i="2" s="1"/>
  <c r="H44" i="5"/>
  <c r="I44" i="5" s="1"/>
  <c r="J44" i="5" s="1"/>
  <c r="K44" i="5" s="1"/>
  <c r="L44" i="5" l="1"/>
  <c r="Q44" i="2"/>
  <c r="L44" i="2"/>
  <c r="D45" i="2" s="1"/>
  <c r="G45" i="2" l="1"/>
  <c r="D45" i="5"/>
  <c r="I45" i="2" l="1"/>
  <c r="M45" i="2" s="1"/>
  <c r="N45" i="2" s="1"/>
  <c r="G45" i="5"/>
  <c r="J45" i="2" l="1"/>
  <c r="K45" i="2" s="1"/>
  <c r="H45" i="5"/>
  <c r="I45" i="5" s="1"/>
  <c r="J45" i="5" s="1"/>
  <c r="K45" i="5" s="1"/>
  <c r="L45" i="5" l="1"/>
  <c r="Q45" i="2"/>
  <c r="L45" i="2"/>
  <c r="D46" i="2" s="1"/>
  <c r="D46" i="5" l="1"/>
  <c r="G46" i="2"/>
  <c r="G46" i="5" l="1"/>
  <c r="D15" i="4"/>
  <c r="I46" i="2"/>
  <c r="M46" i="2" s="1"/>
  <c r="N46" i="2" s="1"/>
  <c r="J46" i="2" l="1"/>
  <c r="K46" i="2" s="1"/>
  <c r="H46" i="5"/>
  <c r="I46" i="5" s="1"/>
  <c r="J46" i="5" s="1"/>
  <c r="K46" i="5" s="1"/>
  <c r="Q46" i="2" l="1"/>
  <c r="L46" i="5"/>
  <c r="L46" i="2"/>
  <c r="D47" i="2" s="1"/>
  <c r="C15" i="4"/>
  <c r="E15" i="4" s="1"/>
  <c r="D47" i="5" l="1"/>
  <c r="B16" i="4"/>
  <c r="G47" i="2"/>
  <c r="G47" i="5" l="1"/>
  <c r="I47" i="2"/>
  <c r="M47" i="2" s="1"/>
  <c r="N47" i="2" s="1"/>
  <c r="J47" i="2" l="1"/>
  <c r="K47" i="2" s="1"/>
  <c r="H47" i="5"/>
  <c r="I47" i="5" s="1"/>
  <c r="J47" i="5" s="1"/>
  <c r="K47" i="5" s="1"/>
  <c r="Q47" i="2" l="1"/>
  <c r="L47" i="5"/>
  <c r="L47" i="2"/>
  <c r="D48" i="2" s="1"/>
  <c r="D48" i="5" l="1"/>
  <c r="G48" i="2"/>
  <c r="G48" i="5" l="1"/>
  <c r="I48" i="2"/>
  <c r="M48" i="2" s="1"/>
  <c r="N48" i="2" s="1"/>
  <c r="J48" i="2" l="1"/>
  <c r="K48" i="2" s="1"/>
  <c r="H48" i="5"/>
  <c r="I48" i="5" s="1"/>
  <c r="J48" i="5" s="1"/>
  <c r="K48" i="5" s="1"/>
  <c r="L48" i="5" l="1"/>
  <c r="Q48" i="2"/>
  <c r="L48" i="2"/>
  <c r="D49" i="2" s="1"/>
  <c r="D49" i="5" l="1"/>
  <c r="G49" i="2"/>
  <c r="G49" i="5" l="1"/>
  <c r="I49" i="2"/>
  <c r="M49" i="2" s="1"/>
  <c r="N49" i="2" s="1"/>
  <c r="J49" i="2" l="1"/>
  <c r="K49" i="2" s="1"/>
  <c r="H49" i="5"/>
  <c r="I49" i="5" s="1"/>
  <c r="J49" i="5" s="1"/>
  <c r="K49" i="5" s="1"/>
  <c r="Q49" i="2" l="1"/>
  <c r="L49" i="5"/>
  <c r="L49" i="2"/>
  <c r="D50" i="2" s="1"/>
  <c r="G50" i="2" l="1"/>
  <c r="D50" i="5"/>
  <c r="D16" i="4" l="1"/>
  <c r="I50" i="2"/>
  <c r="M50" i="2" s="1"/>
  <c r="N50" i="2" s="1"/>
  <c r="G50" i="5"/>
  <c r="J50" i="2" l="1"/>
  <c r="K50" i="2" s="1"/>
  <c r="H50" i="5"/>
  <c r="I50" i="5" s="1"/>
  <c r="J50" i="5" s="1"/>
  <c r="K50" i="5" s="1"/>
  <c r="L50" i="5" l="1"/>
  <c r="Q50" i="2"/>
  <c r="L50" i="2"/>
  <c r="D51" i="2" s="1"/>
  <c r="C16" i="4"/>
  <c r="E16" i="4" s="1"/>
  <c r="D51" i="5" l="1"/>
  <c r="B17" i="4"/>
  <c r="G51" i="2"/>
  <c r="G51" i="5" l="1"/>
  <c r="I51" i="2"/>
  <c r="M51" i="2" s="1"/>
  <c r="N51" i="2" s="1"/>
  <c r="J51" i="2" l="1"/>
  <c r="K51" i="2" s="1"/>
  <c r="H51" i="5"/>
  <c r="I51" i="5" s="1"/>
  <c r="J51" i="5" s="1"/>
  <c r="K51" i="5" s="1"/>
  <c r="Q51" i="2" l="1"/>
  <c r="L51" i="5"/>
  <c r="L51" i="2"/>
  <c r="D52" i="2" s="1"/>
  <c r="D52" i="5" l="1"/>
  <c r="G52" i="2"/>
  <c r="G52" i="5" l="1"/>
  <c r="I52" i="2"/>
  <c r="M52" i="2" s="1"/>
  <c r="N52" i="2" s="1"/>
  <c r="J52" i="2" l="1"/>
  <c r="K52" i="2" s="1"/>
  <c r="H52" i="5"/>
  <c r="I52" i="5" s="1"/>
  <c r="J52" i="5" s="1"/>
  <c r="K52" i="5" s="1"/>
  <c r="Q52" i="2" l="1"/>
  <c r="L52" i="5"/>
  <c r="L52" i="2"/>
  <c r="D53" i="2" s="1"/>
  <c r="D53" i="5" l="1"/>
  <c r="G53" i="2"/>
  <c r="G53" i="5" l="1"/>
  <c r="I53" i="2"/>
  <c r="M53" i="2" s="1"/>
  <c r="N53" i="2" s="1"/>
  <c r="J53" i="2" l="1"/>
  <c r="K53" i="2" s="1"/>
  <c r="H53" i="5"/>
  <c r="I53" i="5" s="1"/>
  <c r="J53" i="5" s="1"/>
  <c r="K53" i="5" s="1"/>
  <c r="Q53" i="2" l="1"/>
  <c r="L53" i="5"/>
  <c r="L53" i="2"/>
  <c r="D54" i="2" s="1"/>
  <c r="D54" i="5" l="1"/>
  <c r="G54" i="2"/>
  <c r="G54" i="5" l="1"/>
  <c r="D17" i="4"/>
  <c r="I54" i="2"/>
  <c r="M54" i="2" s="1"/>
  <c r="N54" i="2" s="1"/>
  <c r="J54" i="2" l="1"/>
  <c r="K54" i="2" s="1"/>
  <c r="H54" i="5"/>
  <c r="I54" i="5" s="1"/>
  <c r="J54" i="5" s="1"/>
  <c r="K54" i="5" s="1"/>
  <c r="Q54" i="2" l="1"/>
  <c r="L54" i="5"/>
  <c r="L54" i="2"/>
  <c r="D55" i="2" s="1"/>
  <c r="C17" i="4"/>
  <c r="E17" i="4" s="1"/>
  <c r="D55" i="5" l="1"/>
  <c r="B18" i="4"/>
  <c r="G55" i="2"/>
  <c r="G55" i="5" l="1"/>
  <c r="I55" i="2"/>
  <c r="M55" i="2" s="1"/>
  <c r="N55" i="2" s="1"/>
  <c r="J55" i="2" l="1"/>
  <c r="K55" i="2" s="1"/>
  <c r="H55" i="5"/>
  <c r="I55" i="5" s="1"/>
  <c r="J55" i="5" s="1"/>
  <c r="K55" i="5" s="1"/>
  <c r="Q55" i="2" l="1"/>
  <c r="L55" i="5"/>
  <c r="L55" i="2"/>
  <c r="D56" i="2" s="1"/>
  <c r="D56" i="5" l="1"/>
  <c r="G56" i="2"/>
  <c r="N56" i="2"/>
  <c r="K56" i="5" l="1"/>
  <c r="G56" i="5"/>
  <c r="I56" i="2"/>
  <c r="M56" i="2" s="1"/>
  <c r="J56" i="2" l="1"/>
  <c r="K56" i="2" s="1"/>
  <c r="H56" i="5"/>
  <c r="I56" i="5" s="1"/>
  <c r="J56" i="5" s="1"/>
  <c r="Q56" i="2" l="1"/>
  <c r="L56" i="5"/>
  <c r="L56" i="2"/>
  <c r="D57" i="2" s="1"/>
  <c r="D57" i="5" l="1"/>
  <c r="G57" i="2"/>
  <c r="N57" i="2"/>
  <c r="K57" i="5" l="1"/>
  <c r="G57" i="5"/>
  <c r="I57" i="2"/>
  <c r="M57" i="2" s="1"/>
  <c r="J57" i="2" l="1"/>
  <c r="K57" i="2" s="1"/>
  <c r="I107" i="2"/>
  <c r="H57" i="5"/>
  <c r="Q57" i="2" l="1"/>
  <c r="Q107" i="2" s="1"/>
  <c r="L57" i="5"/>
  <c r="J107" i="2"/>
  <c r="I57" i="5"/>
  <c r="J57" i="5" s="1"/>
  <c r="H107" i="5"/>
  <c r="L57" i="2"/>
  <c r="D58" i="2" s="1"/>
  <c r="C18" i="4"/>
  <c r="E18" i="4" s="1"/>
  <c r="K107" i="2"/>
  <c r="B81" i="1" l="1"/>
  <c r="B82" i="1" s="1"/>
  <c r="B91" i="1"/>
  <c r="C91" i="1" s="1"/>
  <c r="B90" i="1"/>
  <c r="C90" i="1" s="1"/>
  <c r="B92" i="1"/>
  <c r="C92" i="1" s="1"/>
  <c r="D58" i="5"/>
  <c r="G58" i="5" s="1"/>
  <c r="I58" i="5" s="1"/>
  <c r="J58" i="5" s="1"/>
  <c r="L58" i="2"/>
  <c r="D59" i="2" s="1"/>
  <c r="G58" i="2"/>
  <c r="B84" i="1" l="1"/>
  <c r="E83" i="1"/>
  <c r="G59" i="2"/>
  <c r="L59" i="2"/>
  <c r="D60" i="2" s="1"/>
  <c r="B19" i="4"/>
  <c r="E19" i="4" s="1"/>
  <c r="D59" i="5"/>
  <c r="G59" i="5" s="1"/>
  <c r="I59" i="5" s="1"/>
  <c r="J59" i="5" s="1"/>
  <c r="D18" i="4"/>
  <c r="M58" i="2"/>
  <c r="M59" i="2" l="1"/>
  <c r="G60" i="2"/>
  <c r="M60" i="2" s="1"/>
  <c r="L60" i="2"/>
  <c r="D61" i="2" s="1"/>
  <c r="D60" i="5"/>
  <c r="G60" i="5" s="1"/>
  <c r="I60" i="5" s="1"/>
  <c r="J60" i="5" s="1"/>
  <c r="G61" i="2" l="1"/>
  <c r="L61" i="2"/>
  <c r="D62" i="2" s="1"/>
  <c r="D61" i="5"/>
  <c r="G61" i="5" s="1"/>
  <c r="I61" i="5" s="1"/>
  <c r="J61" i="5" s="1"/>
  <c r="D19" i="4" l="1"/>
  <c r="F19" i="4"/>
  <c r="G19" i="4" s="1"/>
  <c r="M61" i="2"/>
  <c r="G62" i="2"/>
  <c r="M62" i="2" s="1"/>
  <c r="L62" i="2"/>
  <c r="D63" i="2" s="1"/>
  <c r="D62" i="5"/>
  <c r="G62" i="5" s="1"/>
  <c r="I62" i="5" s="1"/>
  <c r="J62" i="5" s="1"/>
  <c r="G63" i="2" l="1"/>
  <c r="L63" i="2"/>
  <c r="D64" i="2" s="1"/>
  <c r="D63" i="5"/>
  <c r="G63" i="5" s="1"/>
  <c r="I63" i="5" s="1"/>
  <c r="J63" i="5" s="1"/>
  <c r="B20" i="4"/>
  <c r="E20" i="4" s="1"/>
  <c r="M63" i="2" l="1"/>
  <c r="G64" i="2"/>
  <c r="M64" i="2" s="1"/>
  <c r="L64" i="2"/>
  <c r="D65" i="2" s="1"/>
  <c r="D64" i="5"/>
  <c r="G64" i="5" s="1"/>
  <c r="I64" i="5" s="1"/>
  <c r="J64" i="5" s="1"/>
  <c r="G65" i="2" l="1"/>
  <c r="L65" i="2"/>
  <c r="D66" i="2" s="1"/>
  <c r="D65" i="5"/>
  <c r="G65" i="5" s="1"/>
  <c r="I65" i="5" s="1"/>
  <c r="J65" i="5" s="1"/>
  <c r="D20" i="4" l="1"/>
  <c r="F20" i="4"/>
  <c r="G20" i="4" s="1"/>
  <c r="M65" i="2"/>
  <c r="G66" i="2"/>
  <c r="M66" i="2" s="1"/>
  <c r="L66" i="2"/>
  <c r="D67" i="2" s="1"/>
  <c r="D66" i="5"/>
  <c r="G66" i="5" s="1"/>
  <c r="I66" i="5" s="1"/>
  <c r="J66" i="5" s="1"/>
  <c r="G67" i="2" l="1"/>
  <c r="L67" i="2"/>
  <c r="D68" i="2" s="1"/>
  <c r="D67" i="5"/>
  <c r="G67" i="5" s="1"/>
  <c r="I67" i="5" s="1"/>
  <c r="J67" i="5" s="1"/>
  <c r="B21" i="4"/>
  <c r="E21" i="4" s="1"/>
  <c r="M67" i="2" l="1"/>
  <c r="G68" i="2"/>
  <c r="M68" i="2" s="1"/>
  <c r="L68" i="2"/>
  <c r="D69" i="2" s="1"/>
  <c r="D68" i="5"/>
  <c r="G68" i="5" s="1"/>
  <c r="I68" i="5" s="1"/>
  <c r="J68" i="5" s="1"/>
  <c r="G69" i="2" l="1"/>
  <c r="L69" i="2"/>
  <c r="D70" i="2" s="1"/>
  <c r="D69" i="5"/>
  <c r="G69" i="5" s="1"/>
  <c r="I69" i="5" s="1"/>
  <c r="J69" i="5" s="1"/>
  <c r="F21" i="4" l="1"/>
  <c r="G21" i="4" s="1"/>
  <c r="D21" i="4"/>
  <c r="M69" i="2"/>
  <c r="G70" i="2"/>
  <c r="M70" i="2" s="1"/>
  <c r="L70" i="2"/>
  <c r="D71" i="2" s="1"/>
  <c r="D70" i="5"/>
  <c r="G70" i="5" s="1"/>
  <c r="I70" i="5" s="1"/>
  <c r="J70" i="5" s="1"/>
  <c r="G71" i="2" l="1"/>
  <c r="L71" i="2"/>
  <c r="D72" i="2" s="1"/>
  <c r="B22" i="4"/>
  <c r="E22" i="4" s="1"/>
  <c r="D71" i="5"/>
  <c r="G71" i="5" s="1"/>
  <c r="I71" i="5" s="1"/>
  <c r="J71" i="5" s="1"/>
  <c r="M71" i="2" l="1"/>
  <c r="G72" i="2"/>
  <c r="M72" i="2" s="1"/>
  <c r="L72" i="2"/>
  <c r="D73" i="2" s="1"/>
  <c r="D72" i="5"/>
  <c r="G72" i="5" s="1"/>
  <c r="I72" i="5" s="1"/>
  <c r="J72" i="5" s="1"/>
  <c r="G73" i="2" l="1"/>
  <c r="L73" i="2"/>
  <c r="D74" i="2" s="1"/>
  <c r="D73" i="5"/>
  <c r="G73" i="5" s="1"/>
  <c r="I73" i="5" s="1"/>
  <c r="J73" i="5" s="1"/>
  <c r="F22" i="4" l="1"/>
  <c r="G22" i="4" s="1"/>
  <c r="D22" i="4"/>
  <c r="M73" i="2"/>
  <c r="G74" i="2"/>
  <c r="M74" i="2" s="1"/>
  <c r="L74" i="2"/>
  <c r="D75" i="2" s="1"/>
  <c r="D74" i="5"/>
  <c r="G74" i="5" s="1"/>
  <c r="I74" i="5" s="1"/>
  <c r="J74" i="5" s="1"/>
  <c r="G75" i="2" l="1"/>
  <c r="L75" i="2"/>
  <c r="D76" i="2" s="1"/>
  <c r="B23" i="4"/>
  <c r="E23" i="4" s="1"/>
  <c r="D75" i="5"/>
  <c r="G75" i="5" s="1"/>
  <c r="I75" i="5" s="1"/>
  <c r="J75" i="5" s="1"/>
  <c r="M75" i="2" l="1"/>
  <c r="G76" i="2"/>
  <c r="M76" i="2" s="1"/>
  <c r="L76" i="2"/>
  <c r="D77" i="2" s="1"/>
  <c r="D76" i="5"/>
  <c r="G76" i="5" s="1"/>
  <c r="I76" i="5" s="1"/>
  <c r="J76" i="5" s="1"/>
  <c r="G77" i="2" l="1"/>
  <c r="L77" i="2"/>
  <c r="D78" i="2" s="1"/>
  <c r="D77" i="5"/>
  <c r="G77" i="5" s="1"/>
  <c r="I77" i="5" s="1"/>
  <c r="J77" i="5" s="1"/>
  <c r="F23" i="4" l="1"/>
  <c r="G23" i="4" s="1"/>
  <c r="D23" i="4"/>
  <c r="M77" i="2"/>
  <c r="G78" i="2"/>
  <c r="M78" i="2" s="1"/>
  <c r="L78" i="2"/>
  <c r="D79" i="2" s="1"/>
  <c r="D78" i="5"/>
  <c r="G78" i="5" s="1"/>
  <c r="I78" i="5" s="1"/>
  <c r="J78" i="5" s="1"/>
  <c r="G79" i="2" l="1"/>
  <c r="L79" i="2"/>
  <c r="D80" i="2" s="1"/>
  <c r="D79" i="5"/>
  <c r="G79" i="5" s="1"/>
  <c r="I79" i="5" s="1"/>
  <c r="J79" i="5" s="1"/>
  <c r="B24" i="4"/>
  <c r="E24" i="4" s="1"/>
  <c r="M79" i="2" l="1"/>
  <c r="G80" i="2"/>
  <c r="M80" i="2" s="1"/>
  <c r="L80" i="2"/>
  <c r="D81" i="2" s="1"/>
  <c r="D80" i="5"/>
  <c r="G80" i="5" s="1"/>
  <c r="I80" i="5" s="1"/>
  <c r="J80" i="5" s="1"/>
  <c r="G81" i="2" l="1"/>
  <c r="L81" i="2"/>
  <c r="D82" i="2" s="1"/>
  <c r="D81" i="5"/>
  <c r="G81" i="5" s="1"/>
  <c r="I81" i="5" s="1"/>
  <c r="J81" i="5" s="1"/>
  <c r="F24" i="4" l="1"/>
  <c r="G24" i="4" s="1"/>
  <c r="D24" i="4"/>
  <c r="M81" i="2"/>
  <c r="G82" i="2"/>
  <c r="M82" i="2" s="1"/>
  <c r="L82" i="2"/>
  <c r="D83" i="2" s="1"/>
  <c r="D82" i="5"/>
  <c r="G82" i="5" s="1"/>
  <c r="I82" i="5" s="1"/>
  <c r="J82" i="5" s="1"/>
  <c r="G83" i="2" l="1"/>
  <c r="L83" i="2"/>
  <c r="D84" i="2" s="1"/>
  <c r="B25" i="4"/>
  <c r="E25" i="4" s="1"/>
  <c r="D83" i="5"/>
  <c r="G83" i="5" s="1"/>
  <c r="I83" i="5" s="1"/>
  <c r="J83" i="5" s="1"/>
  <c r="M83" i="2" l="1"/>
  <c r="G84" i="2"/>
  <c r="M84" i="2" s="1"/>
  <c r="L84" i="2"/>
  <c r="D85" i="2" s="1"/>
  <c r="D84" i="5"/>
  <c r="G84" i="5" s="1"/>
  <c r="I84" i="5" s="1"/>
  <c r="J84" i="5" s="1"/>
  <c r="G85" i="2" l="1"/>
  <c r="L85" i="2"/>
  <c r="D86" i="2" s="1"/>
  <c r="D85" i="5"/>
  <c r="G85" i="5" s="1"/>
  <c r="I85" i="5" s="1"/>
  <c r="J85" i="5" s="1"/>
  <c r="F25" i="4" l="1"/>
  <c r="G25" i="4" s="1"/>
  <c r="D25" i="4"/>
  <c r="M85" i="2"/>
  <c r="G86" i="2"/>
  <c r="M86" i="2" s="1"/>
  <c r="L86" i="2"/>
  <c r="D87" i="2" s="1"/>
  <c r="D86" i="5"/>
  <c r="G86" i="5" s="1"/>
  <c r="I86" i="5" s="1"/>
  <c r="J86" i="5" s="1"/>
  <c r="G87" i="2" l="1"/>
  <c r="L87" i="2"/>
  <c r="D88" i="2" s="1"/>
  <c r="B26" i="4"/>
  <c r="E26" i="4" s="1"/>
  <c r="D87" i="5"/>
  <c r="G87" i="5" s="1"/>
  <c r="I87" i="5" s="1"/>
  <c r="J87" i="5" s="1"/>
  <c r="M87" i="2" l="1"/>
  <c r="G88" i="2"/>
  <c r="M88" i="2" s="1"/>
  <c r="L88" i="2"/>
  <c r="D89" i="2" s="1"/>
  <c r="D88" i="5"/>
  <c r="G88" i="5" s="1"/>
  <c r="I88" i="5" s="1"/>
  <c r="J88" i="5" s="1"/>
  <c r="G89" i="2" l="1"/>
  <c r="L89" i="2"/>
  <c r="D90" i="2" s="1"/>
  <c r="D89" i="5"/>
  <c r="G89" i="5" s="1"/>
  <c r="I89" i="5" s="1"/>
  <c r="J89" i="5" s="1"/>
  <c r="D26" i="4" l="1"/>
  <c r="F26" i="4"/>
  <c r="G26" i="4" s="1"/>
  <c r="M89" i="2"/>
  <c r="G90" i="2"/>
  <c r="M90" i="2" s="1"/>
  <c r="L90" i="2"/>
  <c r="D91" i="2" s="1"/>
  <c r="D90" i="5"/>
  <c r="G90" i="5" s="1"/>
  <c r="I90" i="5" s="1"/>
  <c r="J90" i="5" s="1"/>
  <c r="G91" i="2" l="1"/>
  <c r="L91" i="2"/>
  <c r="D92" i="2" s="1"/>
  <c r="B27" i="4"/>
  <c r="E27" i="4" s="1"/>
  <c r="D91" i="5"/>
  <c r="G91" i="5" s="1"/>
  <c r="I91" i="5" s="1"/>
  <c r="J91" i="5" s="1"/>
  <c r="M91" i="2" l="1"/>
  <c r="G92" i="2"/>
  <c r="M92" i="2" s="1"/>
  <c r="L92" i="2"/>
  <c r="D93" i="2" s="1"/>
  <c r="D92" i="5"/>
  <c r="G92" i="5" s="1"/>
  <c r="I92" i="5" s="1"/>
  <c r="J92" i="5" s="1"/>
  <c r="G93" i="2" l="1"/>
  <c r="L93" i="2"/>
  <c r="D94" i="2" s="1"/>
  <c r="D93" i="5"/>
  <c r="G93" i="5" s="1"/>
  <c r="I93" i="5" s="1"/>
  <c r="J93" i="5" s="1"/>
  <c r="F27" i="4" l="1"/>
  <c r="G27" i="4" s="1"/>
  <c r="M93" i="2"/>
  <c r="G94" i="2"/>
  <c r="L94" i="2"/>
  <c r="D95" i="2" s="1"/>
  <c r="D94" i="5"/>
  <c r="G94" i="5" s="1"/>
  <c r="I94" i="5" s="1"/>
  <c r="J94" i="5" s="1"/>
  <c r="G95" i="2" l="1"/>
  <c r="L95" i="2"/>
  <c r="D96" i="2" s="1"/>
  <c r="B28" i="4"/>
  <c r="E28" i="4" s="1"/>
  <c r="D95" i="5"/>
  <c r="G95" i="5" s="1"/>
  <c r="I95" i="5" s="1"/>
  <c r="J95" i="5" s="1"/>
  <c r="M94" i="2"/>
  <c r="D27" i="4"/>
  <c r="M95" i="2" l="1"/>
  <c r="G96" i="2"/>
  <c r="M96" i="2" s="1"/>
  <c r="L96" i="2"/>
  <c r="D97" i="2" s="1"/>
  <c r="D96" i="5"/>
  <c r="G96" i="5" s="1"/>
  <c r="I96" i="5" s="1"/>
  <c r="J96" i="5" s="1"/>
  <c r="G97" i="2" l="1"/>
  <c r="L97" i="2"/>
  <c r="D98" i="2" s="1"/>
  <c r="D97" i="5"/>
  <c r="G97" i="5" s="1"/>
  <c r="I97" i="5" s="1"/>
  <c r="J97" i="5" s="1"/>
  <c r="F28" i="4" l="1"/>
  <c r="G28" i="4" s="1"/>
  <c r="M97" i="2"/>
  <c r="G98" i="2"/>
  <c r="L98" i="2"/>
  <c r="D99" i="2" s="1"/>
  <c r="D98" i="5"/>
  <c r="G98" i="5" s="1"/>
  <c r="I98" i="5" s="1"/>
  <c r="J98" i="5" s="1"/>
  <c r="G99" i="2" l="1"/>
  <c r="L99" i="2"/>
  <c r="D100" i="2" s="1"/>
  <c r="D99" i="5"/>
  <c r="G99" i="5" s="1"/>
  <c r="I99" i="5" s="1"/>
  <c r="J99" i="5" s="1"/>
  <c r="B29" i="4"/>
  <c r="E29" i="4" s="1"/>
  <c r="M98" i="2"/>
  <c r="D28" i="4"/>
  <c r="M99" i="2" l="1"/>
  <c r="G100" i="2"/>
  <c r="M100" i="2" s="1"/>
  <c r="L100" i="2"/>
  <c r="D101" i="2" s="1"/>
  <c r="D100" i="5"/>
  <c r="G100" i="5" s="1"/>
  <c r="I100" i="5" s="1"/>
  <c r="J100" i="5" s="1"/>
  <c r="G101" i="2" l="1"/>
  <c r="L101" i="2"/>
  <c r="D102" i="2" s="1"/>
  <c r="D101" i="5"/>
  <c r="G101" i="5" s="1"/>
  <c r="I101" i="5" s="1"/>
  <c r="J101" i="5" s="1"/>
  <c r="D29" i="4" l="1"/>
  <c r="M101" i="2"/>
  <c r="G102" i="2"/>
  <c r="L102" i="2"/>
  <c r="D103" i="2" s="1"/>
  <c r="D102" i="5"/>
  <c r="G102" i="5" s="1"/>
  <c r="I102" i="5" s="1"/>
  <c r="J102" i="5" s="1"/>
  <c r="G103" i="2" l="1"/>
  <c r="L103" i="2"/>
  <c r="D104" i="2" s="1"/>
  <c r="B30" i="4"/>
  <c r="E30" i="4" s="1"/>
  <c r="D103" i="5"/>
  <c r="G103" i="5" s="1"/>
  <c r="I103" i="5" s="1"/>
  <c r="J103" i="5" s="1"/>
  <c r="M102" i="2"/>
  <c r="F29" i="4"/>
  <c r="G29" i="4" s="1"/>
  <c r="M103" i="2" l="1"/>
  <c r="G104" i="2"/>
  <c r="M104" i="2" s="1"/>
  <c r="L104" i="2"/>
  <c r="D105" i="2" s="1"/>
  <c r="D104" i="5"/>
  <c r="G104" i="5" s="1"/>
  <c r="I104" i="5" s="1"/>
  <c r="J104" i="5" s="1"/>
  <c r="G105" i="2" l="1"/>
  <c r="L105" i="2"/>
  <c r="D106" i="2" s="1"/>
  <c r="D105" i="5"/>
  <c r="G105" i="5" s="1"/>
  <c r="I105" i="5" s="1"/>
  <c r="J105" i="5" s="1"/>
  <c r="D30" i="4" l="1"/>
  <c r="F30" i="4"/>
  <c r="G30" i="4" s="1"/>
  <c r="M105" i="2"/>
  <c r="G106" i="2"/>
  <c r="L106" i="2"/>
  <c r="L107" i="2" s="1"/>
  <c r="D106" i="5"/>
  <c r="G106" i="5" s="1"/>
  <c r="F18" i="4" l="1"/>
  <c r="G18" i="4" s="1"/>
  <c r="F17" i="4"/>
  <c r="G17" i="4" s="1"/>
  <c r="F16" i="4"/>
  <c r="G16" i="4" s="1"/>
  <c r="F15" i="4"/>
  <c r="G15" i="4" s="1"/>
  <c r="F14" i="4"/>
  <c r="G14" i="4" s="1"/>
  <c r="F13" i="4"/>
  <c r="G13" i="4" s="1"/>
  <c r="F12" i="4"/>
  <c r="G12" i="4" s="1"/>
  <c r="F11" i="4"/>
  <c r="G11" i="4" s="1"/>
  <c r="F10" i="4"/>
  <c r="G10" i="4" s="1"/>
  <c r="F9" i="4"/>
  <c r="G9" i="4" s="1"/>
  <c r="F8" i="4"/>
  <c r="G8" i="4" s="1"/>
  <c r="F7" i="4"/>
  <c r="G7" i="4" s="1"/>
  <c r="G107" i="2"/>
  <c r="M106" i="2"/>
  <c r="G107" i="5"/>
  <c r="I106" i="5"/>
  <c r="I107" i="5" l="1"/>
  <c r="J10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12" authorId="0" shapeId="0" xr:uid="{00000000-0006-0000-0000-000001000000}">
      <text>
        <r>
          <rPr>
            <sz val="10"/>
            <rFont val="Arial"/>
            <family val="2"/>
          </rPr>
          <t>KNOWN LIMITATION: setting this to exactly 0 produced #VALUE! errors throughout the Sculpting_Schedule tab during testing in this build environment (LibreOffice headless recalculation) - the same formulas worked correctly for every value tested from 1 upward. This may be a recalculation-engine quirk rather than a genuine formula flaw (Excel and LibreOffice sometimes differ on edge-case recalculation), but it has NOT been verified to work in real Excel. If your project genuinely has zero moratorium, test this specific case directly in Excel before relying on it, or use a workaround (e.g., set Moratorium=1 with a token nominal value) until confirmed.</t>
        </r>
      </text>
    </comment>
    <comment ref="B22" authorId="0" shapeId="0" xr:uid="{00000000-0006-0000-0000-000002000000}">
      <text>
        <r>
          <rPr>
            <sz val="10"/>
            <rFont val="Arial"/>
            <family val="2"/>
          </rPr>
          <t>PLACEHOLDER - replace with your real annual CFADS for this project. Years beyond your actual tenor should be left at 0.</t>
        </r>
      </text>
    </comment>
    <comment ref="B64" authorId="0" shapeId="0" xr:uid="{00000000-0006-0000-0000-000003000000}">
      <text>
        <r>
          <rPr>
            <sz val="10"/>
            <rFont val="Arial"/>
            <family val="2"/>
          </rPr>
          <t>Must be 1 or greater - a value of 0 is guarded against in the formulas (treated as 1) but has no real-world meaning as a reset interval.</t>
        </r>
      </text>
    </comment>
    <comment ref="C67" authorId="0" shapeId="0" xr:uid="{00000000-0006-0000-0000-000004000000}">
      <text>
        <r>
          <rPr>
            <sz val="10"/>
            <rFont val="Arial"/>
            <family val="2"/>
          </rPr>
          <t>Defaults to Day-1 rate - update with the ACTUAL reset rate once contractually confirmed for this period, not before.</t>
        </r>
      </text>
    </comment>
    <comment ref="C68" authorId="0" shapeId="0" xr:uid="{00000000-0006-0000-0000-000005000000}">
      <text>
        <r>
          <rPr>
            <sz val="10"/>
            <rFont val="Arial"/>
            <family val="2"/>
          </rPr>
          <t>Defaults to Day-1 rate - update with the ACTUAL reset rate once contractually confirmed for this period, not before.</t>
        </r>
      </text>
    </comment>
    <comment ref="C69" authorId="0" shapeId="0" xr:uid="{00000000-0006-0000-0000-000006000000}">
      <text>
        <r>
          <rPr>
            <sz val="10"/>
            <rFont val="Arial"/>
            <family val="2"/>
          </rPr>
          <t>Defaults to Day-1 rate - update with the ACTUAL reset rate once contractually confirmed for this period, not before.</t>
        </r>
      </text>
    </comment>
    <comment ref="C70" authorId="0" shapeId="0" xr:uid="{00000000-0006-0000-0000-000007000000}">
      <text>
        <r>
          <rPr>
            <sz val="10"/>
            <rFont val="Arial"/>
            <family val="2"/>
          </rPr>
          <t>Defaults to Day-1 rate - update with the ACTUAL reset rate once contractually confirmed for this period, not before.</t>
        </r>
      </text>
    </comment>
    <comment ref="C71" authorId="0" shapeId="0" xr:uid="{00000000-0006-0000-0000-000008000000}">
      <text>
        <r>
          <rPr>
            <sz val="10"/>
            <rFont val="Arial"/>
            <family val="2"/>
          </rPr>
          <t>Defaults to Day-1 rate - update with the ACTUAL reset rate once contractually confirmed for this period, not before.</t>
        </r>
      </text>
    </comment>
    <comment ref="C72" authorId="0" shapeId="0" xr:uid="{00000000-0006-0000-0000-000009000000}">
      <text>
        <r>
          <rPr>
            <sz val="10"/>
            <rFont val="Arial"/>
            <family val="2"/>
          </rPr>
          <t>Defaults to Day-1 rate - update with the ACTUAL reset rate once contractually confirmed for this period, not before.</t>
        </r>
      </text>
    </comment>
    <comment ref="C73" authorId="0" shapeId="0" xr:uid="{00000000-0006-0000-0000-00000A000000}">
      <text>
        <r>
          <rPr>
            <sz val="10"/>
            <rFont val="Arial"/>
            <family val="2"/>
          </rPr>
          <t>Defaults to Day-1 rate - update with the ACTUAL reset rate once contractually confirmed for this period, not before.</t>
        </r>
      </text>
    </comment>
    <comment ref="C74" authorId="0" shapeId="0" xr:uid="{00000000-0006-0000-0000-00000B000000}">
      <text>
        <r>
          <rPr>
            <sz val="10"/>
            <rFont val="Arial"/>
            <family val="2"/>
          </rPr>
          <t>Defaults to Day-1 rate - update with the ACTUAL reset rate once contractually confirmed for this period, not before.</t>
        </r>
      </text>
    </comment>
    <comment ref="C75" authorId="0" shapeId="0" xr:uid="{00000000-0006-0000-0000-00000C000000}">
      <text>
        <r>
          <rPr>
            <sz val="10"/>
            <rFont val="Arial"/>
            <family val="2"/>
          </rPr>
          <t>Defaults to Day-1 rate - update with the ACTUAL reset rate once contractually confirmed for this period, not before.</t>
        </r>
      </text>
    </comment>
  </commentList>
</comments>
</file>

<file path=xl/sharedStrings.xml><?xml version="1.0" encoding="utf-8"?>
<sst xmlns="http://schemas.openxmlformats.org/spreadsheetml/2006/main" count="238" uniqueCount="178">
  <si>
    <t>Reusable across projects with different economics - built for up to 25 years / 100 quarters and up to 5 VGF tranches without formula changes</t>
  </si>
  <si>
    <t>DEBT &amp; COVENANT ASSUMPTIONS</t>
  </si>
  <si>
    <t>Parameter</t>
  </si>
  <si>
    <t>Value</t>
  </si>
  <si>
    <t>Unit</t>
  </si>
  <si>
    <t>Remarks</t>
  </si>
  <si>
    <t>Opening Debt Amount</t>
  </si>
  <si>
    <t>Rs Cr</t>
  </si>
  <si>
    <t>Term Loan principal outstanding at Q1 (start of moratorium) - change this for each new project</t>
  </si>
  <si>
    <t>Target Minimum DSCR</t>
  </si>
  <si>
    <t>x</t>
  </si>
  <si>
    <t>Principal each period is sculpted so CFADS / Debt Service never falls below this</t>
  </si>
  <si>
    <t>Moratorium</t>
  </si>
  <si>
    <t>Quarters</t>
  </si>
  <si>
    <t>Principal deferred; interest still serviced from cash flow (not capitalized) - confirm this matches your term sheet</t>
  </si>
  <si>
    <t>Repayment Period (excl. Moratorium)</t>
  </si>
  <si>
    <t>Quarters over which principal is sculpted and repaid - can be increased up to the template's 100-quarter capacity below</t>
  </si>
  <si>
    <t>Door-to-Door Tenor</t>
  </si>
  <si>
    <t>Moratorium + Repayment Period</t>
  </si>
  <si>
    <t>Interest Rate (Annual)</t>
  </si>
  <si>
    <t>% p.a.</t>
  </si>
  <si>
    <t>User confirmed</t>
  </si>
  <si>
    <t>Interest Rate (Quarterly)</t>
  </si>
  <si>
    <t>% per qtr</t>
  </si>
  <si>
    <t>Annual Rate / 4 (simple division - the common convention in Indian project finance; switch to a compounded quarterly rate if your term sheet specifies one)</t>
  </si>
  <si>
    <t>Fits Within Template Capacity?</t>
  </si>
  <si>
    <t>Template supports up to 100 quarters (25 years) and 5 VGF tranches without any formula changes</t>
  </si>
  <si>
    <t>ANNUAL CFADS INPUT (up to 25 years - leave blank/0 for years beyond your project's actual tenor)</t>
  </si>
  <si>
    <t>Enter your annual CFADS (Cash Flow Available for Debt Service) for each contract year your project actually runs. Leave later years at 0 if your tenor is shorter than 25 years - the schedule correctly shows the loan as closed once fully repaid, regardless of how many blank years follow. Split into 4 equal quarters as a simplification.</t>
  </si>
  <si>
    <t>Contract Year</t>
  </si>
  <si>
    <t>Annual CFADS (Rs Cr)</t>
  </si>
  <si>
    <t>VGF (VIABILITY GAP FUNDING) - MANDATORY PREPAYMENT (flexible, up to 5 tranches)</t>
  </si>
  <si>
    <t>If your project has NO VGF, set VGF Total to 0 (tranches below become irrelevant automatically). If your project has fewer than 5 tranches, leave the unused rows' Quarter blank and %-of-Total at 0 - they will contribute nothing. Each tranche is 100% swept to prepay principal on receipt and is NOT counted as CFADS, so it never distorts the DSCR ratio itself.</t>
  </si>
  <si>
    <t>VGF Total</t>
  </si>
  <si>
    <t>Set to 0 if this project has no VGF</t>
  </si>
  <si>
    <t>Tranche #</t>
  </si>
  <si>
    <t>Quarter Received</t>
  </si>
  <si>
    <t>% of VGF Total</t>
  </si>
  <si>
    <t>Year 1, Q3</t>
  </si>
  <si>
    <t>Year 2, Q2</t>
  </si>
  <si>
    <t>Year 3, Q2</t>
  </si>
  <si>
    <t>Unused</t>
  </si>
  <si>
    <t>VGF Tranches Sum to 100%?</t>
  </si>
  <si>
    <t>Validates your VGF tranche percentages actually add up to 100% (or correctly shows N/A if VGF Total is 0)</t>
  </si>
  <si>
    <t>INTEREST RATE RESET SCHEDULE (for floating-rate loans with periodic reset)</t>
  </si>
  <si>
    <t>If your loan is fixed-rate for the full tenor, ignore this section - the flat Interest Rate (Annual) above already covers that case. For a floating-rate loan with periodic resets (e.g., every 3 or 5 years), the Sculpting_Schedule tab locks the PRINCIPAL path once using the Day-1 rate above as the base case (standard lender convention - principal never re-sculpts when rates move). Use the Actual_Rate_Tracker tab to float INTEREST and DSCR against that fixed path as real resets occur. All reset periods below default to the Day-1 rate - update each one with the actual reset rate once it is contractually confirmed, not before.</t>
  </si>
  <si>
    <t>Reset Interval</t>
  </si>
  <si>
    <t>e.g. 12 = every 3 years, 20 = every 5 years - set to match your term sheet's reset clause</t>
  </si>
  <si>
    <t>Reset
Period #</t>
  </si>
  <si>
    <t>Starts at
Quarter</t>
  </si>
  <si>
    <t>Contractual Interest
Rate for this Period</t>
  </si>
  <si>
    <t>Day-1 rate (financial close)</t>
  </si>
  <si>
    <t>Reset #1</t>
  </si>
  <si>
    <t>Reset #2</t>
  </si>
  <si>
    <t>Reset #3</t>
  </si>
  <si>
    <t>Reset #4</t>
  </si>
  <si>
    <t>Reset #5</t>
  </si>
  <si>
    <t>Reset #6</t>
  </si>
  <si>
    <t>Reset #7</t>
  </si>
  <si>
    <t>Reset #8</t>
  </si>
  <si>
    <t>Reset #9</t>
  </si>
  <si>
    <t>CALCULATED MAX DEBT SIZING (PV Method – Auto-Solves)</t>
  </si>
  <si>
    <t>Max Debt = PV of (CFADS/Target DSCR) debt-service capacity for every Repayment quarter, discounted at the Quarterly Interest Rate, plus the PV of VGF sweeps (discounted the same way). This matches goal-seeking the Sculpting_Schedule Closing Balance to zero at the Door-to-Door Tenor. Caveat: if DSCR sculpting + VGF fully repay the loan BEFORE the Door-to-Door Tenor, this PV figure can slightly overstate true capacity – confirm with Goal Seek (Sculpting_Schedule Closing Balance, last tenor quarter = 0, by changing Opening Debt Amount) in that case.</t>
  </si>
  <si>
    <t>PV of DSCR-Capped Debt Service</t>
  </si>
  <si>
    <t>Linked directly to Sculpting_Schedule column P (PV of Max Debt Service), which discounts each Repayment quarter's CFADS/Target DSCR capacity back to the start of repayment. Single source of truth - no duplicate calculation in this sheet.</t>
  </si>
  <si>
    <t>PV of VGF Sweeps (Repayment Period)</t>
  </si>
  <si>
    <t>Linked directly to Sculpting_Schedule column Q (PV of each quarter's actual VGF sweep). Single source of truth - no duplicate calculation in this sheet.</t>
  </si>
  <si>
    <t>Calculated Max Debt Sizing</t>
  </si>
  <si>
    <t>Maximum Opening Debt Amount this CFADS + VGF profile can service at the Target Minimum DSCR over the full Door-to-Door Tenor. Update Opening Debt Amount (B8) to this figure, then check Sculpting_Schedule Closing Balance at the last tenor quarter reads 0.00 exactly.</t>
  </si>
  <si>
    <t>Current Opening Debt Amount (from above)</t>
  </si>
  <si>
    <t>Linked to the Opening Debt Amount entered at the top of this sheet – shown here for direct comparison.</t>
  </si>
  <si>
    <t>Headroom / (Shortfall) vs Current Entry</t>
  </si>
  <si>
    <t>Positive = the CFADS + VGF profile can support more debt than currently entered (raise Opening Debt Amount). Negative = current Opening Debt Amount exceeds what this profile can service at the Target DSCR – reduce it or re-check tenor/DSCR assumptions.</t>
  </si>
  <si>
    <t>DSCR SENSITIVITY DASHBOARD (What-If – does not affect the live model above)</t>
  </si>
  <si>
    <t>Edit the DSCR values in blue below to test alternate covenant scenarios for lender negotiation. Each row independently recomputes Max Debt using the same CFADS/VGF/tenor as your live model, WITHOUT changing Assumptions!B9 (Target Minimum DSCR) or disturbing Sculpting_Schedule. Add/edit rows as needed.</t>
  </si>
  <si>
    <t>Total Project Cost</t>
  </si>
  <si>
    <t>User input – update as capex firms up (e.g. once the 600 MWh oversized build cost is confirmed).</t>
  </si>
  <si>
    <t>Target DSCR (edit)</t>
  </si>
  <si>
    <t>Max Debt (Rs Cr)</t>
  </si>
  <si>
    <t>% of Project Cost</t>
  </si>
  <si>
    <t>Lender's current ask</t>
  </si>
  <si>
    <t>Solar/BESS precedent range</t>
  </si>
  <si>
    <t>Aggressive end of precedent range</t>
  </si>
  <si>
    <t>Quarterly Debt Sculpting Schedule (up to 100 quarters / 25 years)</t>
  </si>
  <si>
    <t>Principal = MAX(0, MIN(Opening Balance, CFADS/Target DSCR - Interest)) + VGF sweep (if any) - sculpted to hold the covenant exactly. Status shows Closed once fully repaid.</t>
  </si>
  <si>
    <t>Quarter</t>
  </si>
  <si>
    <t>Contract
Year</t>
  </si>
  <si>
    <t>Period
Type</t>
  </si>
  <si>
    <t>Opening
Balance
(Rs Cr)</t>
  </si>
  <si>
    <t>Annual CFADS
(Rs Cr, linked)</t>
  </si>
  <si>
    <t>Quarterly
CFADS
(Rs Cr)</t>
  </si>
  <si>
    <t>Interest
(Rs Cr)</t>
  </si>
  <si>
    <t>Max Debt
Service</t>
  </si>
  <si>
    <t>Principal
(DSCR)
(Rs Cr)</t>
  </si>
  <si>
    <t>VGF
Prepayment
(Rs Cr)</t>
  </si>
  <si>
    <t>Total Principal
(Rs Cr)</t>
  </si>
  <si>
    <t>Closing
Balance
(Rs Cr)</t>
  </si>
  <si>
    <t>Actual
DSCR</t>
  </si>
  <si>
    <t>Status</t>
  </si>
  <si>
    <t>PV Factor
(to start of Repayment)</t>
  </si>
  <si>
    <t>PV of Max Debt
Service (Rs Cr)</t>
  </si>
  <si>
    <t>PV of VGF
Sweep (Rs Cr)</t>
  </si>
  <si>
    <t>Total / Final</t>
  </si>
  <si>
    <t>Status shows Closed for any quarter beyond your project's Door-to-Door Tenor - these rows correctly show zero activity regardless of how many of the 100 available quarters go unused. If your project needs MORE than 100 quarters (25 years), append rows at the bottom following the same formula pattern - inserting rows mid-sheet risks breaking other references. Closing Balance in the Total/Final row should read 0.00 if the Opening Debt Amount is exactly what CFADS + VGF can support at the target DSCR within your actual tenor.</t>
  </si>
  <si>
    <t>Equal Principal Repayment Schedule (alternative - if the lender requires flat principal instead of DSCR sculpting)</t>
  </si>
  <si>
    <t>Regular Principal = Opening Debt / Repayment Quarters, fixed every quarter upto year 3 . After that closing balance of loan at end of year 3 divided the balance tenure of loan</t>
  </si>
  <si>
    <t>Annual CFADS
(Rs Cr)</t>
  </si>
  <si>
    <t>Regular
Principal
(Rs Cr)</t>
  </si>
  <si>
    <t>Unlike Sculpting_Schedule, DSCR here is an OUTPUT, not a target - it varies with CFADS since Regular Principal is fixed. A BREACH here is a genuine covenant risk this repayment structure creates, not something the schedule auto-corrects. Regular Principal is fixed at Opening Debt / Repayment Quarters and does NOT recalculate after VGF sweeps, so the loan closes out earlier than the full repayment period once fully repaid via VGF + regular installments combined.</t>
  </si>
  <si>
    <t>Annual Summary (rolled up from the Quarterly Sculpting Schedule, up to 25 years)</t>
  </si>
  <si>
    <t>Total Principal
(incl. VGF)
(Rs Cr)</t>
  </si>
  <si>
    <t>Total Interest
(Rs Cr)</t>
  </si>
  <si>
    <t>Annual DSCR
(CFADS ÷ Debt Service)</t>
  </si>
  <si>
    <t>Any Breach
This Year?</t>
  </si>
  <si>
    <t>Years beyond your project's actual door-to-door tenor correctly show zero debt activity - this is expected, not an error. A partial final year (where the tenor ends mid-year) will show reduced totals reflecting only the quarters actually falling within that year.</t>
  </si>
  <si>
    <t>Actual Rate Reset Tracker (floats Interest &amp; DSCR against the LOCKED Day-1 principal path)</t>
  </si>
  <si>
    <t>Principal each quarter is PULLED, not recalculated, from Sculpting_Schedule (the fixed Day-1 base case). Only Interest and DSCR float here as real resets occur.</t>
  </si>
  <si>
    <t>Actual
Contractual Rate</t>
  </si>
  <si>
    <t>Actual
Interest
(Rs Cr)</t>
  </si>
  <si>
    <t>DSCR Principal
(from Sculpting_
Schedule, excl VGF)</t>
  </si>
  <si>
    <t>Actual Total
Debt Service
(Rs Cr)</t>
  </si>
  <si>
    <t>VGF
Prepayment
(Rs Cr, memo)</t>
  </si>
  <si>
    <t>Update the Contractual Interest Rate column on the Assumptions tab (Interest Rate Reset Schedule) with each ACTUAL reset rate as it is contractually confirmed - never before. A BREACH here means the locked Day-1 principal path is too aggressive for what actual (higher) rates can support - this is a genuine early-warning signal for covenant risk, not something this tracker can fix automatically, since principal is deliberately never re-sculpted once locked. Note: this is the plain contractual/cash rate used for DSCR (a cash test), NOT the Effective Interest Rate (EIR) used for statutory accounting under Ind AS 109, which separately blends in upfront costs like the processing fee for book purposes only.</t>
  </si>
  <si>
    <t>Fixed Installment = (Opening Debt - VGF Total) / Repayment Period Quarters - a single CONSTANT value, computed once. VGF Total is netted out of the amortization base upfront, so VGF sweeps do NOT shorten the tenor - the loan retires in exactly 49 quarters (post-moratorium), not ~40.</t>
  </si>
  <si>
    <t>Fixed Principal Installment (constant, all repayment quarters)</t>
  </si>
  <si>
    <t>Rs Cr/qtr</t>
  </si>
  <si>
    <t>Fixed
Installment
(Rs Cr)</t>
  </si>
  <si>
    <t>Verify: Closing Balance in Total/Final row = 0.00 AND the last non-zero Total Principal falls in the LAST repayment quarter (Quarter = Door-to-Door Tenor), not earlier. If VGF timing/amounts change, the Fixed Installment above recalculates automatically since VGF Total is netted out upfront - no other formula in this tab needs touching. DSCR here excludes VGF from the ratio, consistent with every other tab in this workbook.</t>
  </si>
  <si>
    <t>camsroy.com</t>
  </si>
  <si>
    <t>VGF-Adjusted Fixed Installment Schedule ( full repayment exactly at Door-to-Door Tenor)</t>
  </si>
  <si>
    <t>DSCR Debt Sculpting &amp; Maximum Debt Sizing Financial Model</t>
  </si>
  <si>
    <t>Blue Text- Input , Black- Formulla /Linked- Please edit blue text only</t>
  </si>
  <si>
    <t>How to Use This DSCR Debt Sculpting Model</t>
  </si>
  <si>
    <t>1. Start with Assumptions tab — enter your inputs</t>
  </si>
  <si>
    <t>Input</t>
  </si>
  <si>
    <t>Cell</t>
  </si>
  <si>
    <t>What it means</t>
  </si>
  <si>
    <t>B8</t>
  </si>
  <si>
    <t>Starting loan amount (you'll refine this using Max Debt Sizing, below)</t>
  </si>
  <si>
    <t>B9</t>
  </si>
  <si>
    <t>Your covenant — e.g. 1.5x</t>
  </si>
  <si>
    <t>B10</t>
  </si>
  <si>
    <t>Quarters before principal repayment begins</t>
  </si>
  <si>
    <t>Repayment Period</t>
  </si>
  <si>
    <t>B11</t>
  </si>
  <si>
    <t>Quarters of actual amortization</t>
  </si>
  <si>
    <t>B12 (auto)</t>
  </si>
  <si>
    <t>Moratorium + Repayment — total debt life</t>
  </si>
  <si>
    <t>Annual Interest Rate</t>
  </si>
  <si>
    <t>B13</t>
  </si>
  <si>
    <t>Loan interest rate</t>
  </si>
  <si>
    <t>Annual CFADS</t>
  </si>
  <si>
    <t>B20:B44</t>
  </si>
  <si>
    <t>Your year-by-year cash flow available for debt service — enter real, uneven figures here, not a flat placeholder</t>
  </si>
  <si>
    <t>VGF Total &amp; Tranches</t>
  </si>
  <si>
    <t>B48, B51:B55</t>
  </si>
  <si>
    <t>Any Viability Gap Funding — amount and which quarter it lands in</t>
  </si>
  <si>
    <t>2. Check Sculpting_Schedule — this is the engine, you don't need to touch it</t>
  </si>
  <si>
    <t>It auto-populates once Assumptions is filled in:</t>
  </si>
  <si>
    <r>
      <t>Interest, Principal (DSCR), VGF Prepayment, Closing Balance</t>
    </r>
    <r>
      <rPr>
        <sz val="11"/>
        <color theme="1"/>
        <rFont val="Calibri"/>
        <family val="2"/>
        <charset val="1"/>
      </rPr>
      <t xml:space="preserve"> — quarter by quarter</t>
    </r>
  </si>
  <si>
    <r>
      <t>Actual DSCR</t>
    </r>
    <r>
      <rPr>
        <sz val="11"/>
        <color theme="1"/>
        <rFont val="Calibri"/>
        <family val="2"/>
        <charset val="1"/>
      </rPr>
      <t xml:space="preserve"> and </t>
    </r>
    <r>
      <rPr>
        <b/>
        <sz val="11"/>
        <color theme="1"/>
        <rFont val="Calibri"/>
        <family val="2"/>
        <charset val="1"/>
      </rPr>
      <t>Status</t>
    </r>
    <r>
      <rPr>
        <sz val="11"/>
        <color theme="1"/>
        <rFont val="Calibri"/>
        <family val="2"/>
        <charset val="1"/>
      </rPr>
      <t xml:space="preserve"> (PASS/BREACH) — confirms your covenant holds every quarter</t>
    </r>
  </si>
  <si>
    <r>
      <t>Closing Balance should hit exactly 0.00 by the Door-to-Door Tenor quarter</t>
    </r>
    <r>
      <rPr>
        <sz val="11"/>
        <color theme="1"/>
        <rFont val="Calibri"/>
        <family val="2"/>
        <charset val="1"/>
      </rPr>
      <t xml:space="preserve"> — if it doesn't, your Opening Debt Amount is mis-sized (see step 3)</t>
    </r>
  </si>
  <si>
    <t>3. Use "Calculated Max Debt Sizing" (Assumptions, rows 75–82) to size the loan correctly</t>
  </si>
  <si>
    <r>
      <t>B80 = Calculated Max Debt Sizing</t>
    </r>
    <r>
      <rPr>
        <sz val="11"/>
        <color theme="1"/>
        <rFont val="Calibri"/>
        <family val="2"/>
        <charset val="1"/>
      </rPr>
      <t xml:space="preserve"> — the true maximum loan this CFADS + VGF profile can support at your Target DSCR over the full tenor</t>
    </r>
  </si>
  <si>
    <r>
      <t>B82 = Headroom/(Shortfall)</t>
    </r>
    <r>
      <rPr>
        <sz val="11"/>
        <color theme="1"/>
        <rFont val="Calibri"/>
        <family val="2"/>
        <charset val="1"/>
      </rPr>
      <t xml:space="preserve"> vs your current B8 entry</t>
    </r>
  </si>
  <si>
    <r>
      <t>Action:</t>
    </r>
    <r>
      <rPr>
        <sz val="11"/>
        <color theme="1"/>
        <rFont val="Calibri"/>
        <family val="2"/>
        <charset val="1"/>
      </rPr>
      <t xml:space="preserve"> copy the B80 value into B8 (Opening Debt Amount), then confirm Sculpting_Schedule's Closing Balance lands at exactly 0.00 in the final tenor quarter</t>
    </r>
  </si>
  <si>
    <t>4. Check Annual_Summary for lender-ready annual compliance</t>
  </si>
  <si>
    <r>
      <t xml:space="preserve">Shows year-by-year </t>
    </r>
    <r>
      <rPr>
        <b/>
        <sz val="11"/>
        <color theme="1"/>
        <rFont val="Calibri"/>
        <family val="2"/>
        <charset val="1"/>
      </rPr>
      <t>Annual DSCR</t>
    </r>
    <r>
      <rPr>
        <sz val="11"/>
        <color theme="1"/>
        <rFont val="Calibri"/>
        <family val="2"/>
        <charset val="1"/>
      </rPr>
      <t xml:space="preserve"> (true CFADS÷Debt Service ratio, not an average) and flags any year that breaches your covenant — this is the number to actually report if your facility tests compliance annually rather than quarterly.</t>
    </r>
  </si>
  <si>
    <t>5. Use the DSCR Sensitivity Dashboard (Assumptions, rows 84–90) for negotiation scenarios</t>
  </si>
  <si>
    <r>
      <t xml:space="preserve">Edit the blue </t>
    </r>
    <r>
      <rPr>
        <b/>
        <sz val="11"/>
        <color theme="1"/>
        <rFont val="Calibri"/>
        <family val="2"/>
        <charset val="1"/>
      </rPr>
      <t>Target DSCR</t>
    </r>
    <r>
      <rPr>
        <sz val="11"/>
        <color theme="1"/>
        <rFont val="Calibri"/>
        <family val="2"/>
        <charset val="1"/>
      </rPr>
      <t xml:space="preserve"> cells (currently 1.50 / 1.30 / 1.20) to test any covenant scenario</t>
    </r>
  </si>
  <si>
    <r>
      <t xml:space="preserve">Edit </t>
    </r>
    <r>
      <rPr>
        <b/>
        <sz val="11"/>
        <color theme="1"/>
        <rFont val="Calibri"/>
        <family val="2"/>
        <charset val="1"/>
      </rPr>
      <t>Total Project Cost</t>
    </r>
    <r>
      <rPr>
        <sz val="11"/>
        <color theme="1"/>
        <rFont val="Calibri"/>
        <family val="2"/>
        <charset val="1"/>
      </rPr>
      <t xml:space="preserve"> (row 86) to see Max Debt as a % of project cost</t>
    </r>
  </si>
  <si>
    <t>This is a parallel what-if calculation — it never touches your live B9 or disturbs the actual schedule</t>
  </si>
  <si>
    <t>Quick sanity checklist before you trust a number</t>
  </si>
  <si>
    <t>1. Annual CFADS (B20:B44) — real figures, not flat placeholder</t>
  </si>
  <si>
    <t>2. Opening Debt Amount (B8) = Calculated Max Debt Sizing (B80), or intentionally lower</t>
  </si>
  <si>
    <t>3. Sculpting_Schedule Closing Balance = 0.00 at the door-to-door tenor quarter, not before/after</t>
  </si>
  <si>
    <t>4. Annual_Summary shows no breach flags</t>
  </si>
  <si>
    <t>5. VGF tranche quarters/percentages sum to 100% (per the VGF check cell)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</si>
</sst>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x"/>
    <numFmt numFmtId="165" formatCode="#,##0.00;\(#,##0.00\)"/>
    <numFmt numFmtId="166" formatCode="0.0%"/>
    <numFmt numFmtId="167" formatCode="0.0000"/>
  </numFmts>
  <fonts count="34" x14ac:knownFonts="1">
    <font>
      <sz val="11"/>
      <color theme="1"/>
      <name val="Calibri"/>
      <family val="2"/>
      <charset val="1"/>
    </font>
    <font>
      <sz val="10"/>
      <name val="Arial"/>
      <family val="2"/>
    </font>
    <font>
      <b/>
      <sz val="16"/>
      <color theme="0"/>
      <name val="Times New Roman"/>
      <family val="1"/>
    </font>
    <font>
      <b/>
      <sz val="12.5"/>
      <color rgb="FFFFFFFF"/>
      <name val="Times New Roman"/>
      <family val="1"/>
    </font>
    <font>
      <b/>
      <sz val="9"/>
      <color rgb="FFFFFFFF"/>
      <name val="Times New Roman"/>
      <family val="1"/>
    </font>
    <font>
      <sz val="11"/>
      <color theme="1"/>
      <name val="Times New Roman"/>
      <family val="1"/>
    </font>
    <font>
      <b/>
      <sz val="10"/>
      <name val="Times New Roman"/>
      <family val="1"/>
    </font>
    <font>
      <b/>
      <sz val="10"/>
      <color rgb="FF000000"/>
      <name val="Times New Roman"/>
      <family val="1"/>
    </font>
    <font>
      <b/>
      <sz val="8"/>
      <color rgb="FF1F3864"/>
      <name val="Times New Roman"/>
      <family val="1"/>
    </font>
    <font>
      <sz val="8.5"/>
      <color rgb="FF000000"/>
      <name val="Times New Roman"/>
      <family val="1"/>
    </font>
    <font>
      <b/>
      <sz val="9"/>
      <color rgb="FF1F3864"/>
      <name val="Times New Roman"/>
      <family val="1"/>
    </font>
    <font>
      <i/>
      <sz val="8.5"/>
      <color rgb="FF595959"/>
      <name val="Times New Roman"/>
      <family val="1"/>
    </font>
    <font>
      <b/>
      <sz val="13"/>
      <color rgb="FFFFFFFF"/>
      <name val="Times New Roman"/>
      <family val="1"/>
    </font>
    <font>
      <b/>
      <sz val="9.5"/>
      <color rgb="FFFFFFFF"/>
      <name val="Times New Roman"/>
      <family val="1"/>
    </font>
    <font>
      <sz val="10"/>
      <color theme="1"/>
      <name val="Times New Roman"/>
      <family val="1"/>
    </font>
    <font>
      <b/>
      <sz val="10"/>
      <color rgb="FF1F3864"/>
      <name val="Times New Roman"/>
      <family val="1"/>
    </font>
    <font>
      <b/>
      <sz val="14"/>
      <color rgb="FFFFFFFF"/>
      <name val="Times New Roman"/>
      <family val="1"/>
    </font>
    <font>
      <sz val="9"/>
      <color rgb="FF000000"/>
      <name val="Times New Roman"/>
      <family val="1"/>
    </font>
    <font>
      <b/>
      <sz val="9"/>
      <color theme="0" tint="-0.34998626667073579"/>
      <name val="Times New Roman"/>
      <family val="1"/>
    </font>
    <font>
      <sz val="11"/>
      <color theme="0"/>
      <name val="Times New Roman"/>
      <family val="1"/>
    </font>
    <font>
      <b/>
      <sz val="15"/>
      <color rgb="FFFFFFFF"/>
      <name val="Times New Roman"/>
      <family val="1"/>
    </font>
    <font>
      <sz val="10"/>
      <color rgb="FF000000"/>
      <name val="Times New Roman"/>
      <family val="1"/>
    </font>
    <font>
      <b/>
      <sz val="16"/>
      <color rgb="FFFFFFFF"/>
      <name val="Times New Roman"/>
      <family val="1"/>
    </font>
    <font>
      <b/>
      <sz val="10.5"/>
      <color rgb="FFFFFFFF"/>
      <name val="Times New Roman"/>
      <family val="1"/>
    </font>
    <font>
      <b/>
      <sz val="12"/>
      <color rgb="FFFFFFFF"/>
      <name val="Times New Roman"/>
      <family val="1"/>
    </font>
    <font>
      <sz val="10"/>
      <name val="Times New Roman"/>
      <family val="1"/>
    </font>
    <font>
      <b/>
      <sz val="10"/>
      <color rgb="FF0000FF"/>
      <name val="Times New Roman"/>
      <family val="1"/>
    </font>
    <font>
      <b/>
      <sz val="11"/>
      <color rgb="FFFFFFFF"/>
      <name val="Times New Roman"/>
      <family val="1"/>
    </font>
    <font>
      <sz val="11"/>
      <color theme="0" tint="-0.34998626667073579"/>
      <name val="Times New Roman"/>
      <family val="1"/>
    </font>
    <font>
      <sz val="11"/>
      <color theme="8" tint="-0.249977111117893"/>
      <name val="Times New Roman"/>
      <family val="1"/>
    </font>
    <font>
      <b/>
      <sz val="13.5"/>
      <color theme="1"/>
      <name val="Calibri"/>
      <family val="2"/>
      <charset val="1"/>
    </font>
    <font>
      <b/>
      <sz val="11"/>
      <color theme="1"/>
      <name val="Calibri"/>
      <family val="2"/>
      <charset val="1"/>
    </font>
    <font>
      <sz val="11"/>
      <color theme="0"/>
      <name val="Calibri"/>
      <family val="2"/>
      <charset val="1"/>
    </font>
    <font>
      <b/>
      <sz val="18"/>
      <color theme="0"/>
      <name val="Calibri"/>
      <family val="2"/>
      <charset val="1"/>
    </font>
  </fonts>
  <fills count="16">
    <fill>
      <patternFill patternType="none"/>
    </fill>
    <fill>
      <patternFill patternType="gray125"/>
    </fill>
    <fill>
      <patternFill patternType="solid">
        <fgColor rgb="FF1F3864"/>
        <bgColor rgb="FF2C4A72"/>
      </patternFill>
    </fill>
    <fill>
      <patternFill patternType="solid">
        <fgColor rgb="FF2C4A72"/>
        <bgColor rgb="FF1F3864"/>
      </patternFill>
    </fill>
    <fill>
      <patternFill patternType="solid">
        <fgColor rgb="FFC9A227"/>
        <bgColor rgb="FF99CC00"/>
      </patternFill>
    </fill>
    <fill>
      <patternFill patternType="solid">
        <fgColor rgb="FF2E7D6E"/>
        <bgColor rgb="FF3E6B8A"/>
      </patternFill>
    </fill>
    <fill>
      <patternFill patternType="solid">
        <fgColor rgb="FFFFFFFF"/>
        <bgColor rgb="FFFDF3DC"/>
      </patternFill>
    </fill>
    <fill>
      <patternFill patternType="solid">
        <fgColor rgb="FFE8EEF3"/>
        <bgColor rgb="FFF0F0F0"/>
      </patternFill>
    </fill>
    <fill>
      <patternFill patternType="solid">
        <fgColor rgb="FFDCEAF6"/>
        <bgColor rgb="FFE8EEF3"/>
      </patternFill>
    </fill>
    <fill>
      <patternFill patternType="solid">
        <fgColor rgb="FF3E6B8A"/>
        <bgColor rgb="FF2E7D6E"/>
      </patternFill>
    </fill>
    <fill>
      <patternFill patternType="solid">
        <fgColor rgb="FFFFF2AA"/>
        <bgColor rgb="FFFDF3DC"/>
      </patternFill>
    </fill>
    <fill>
      <patternFill patternType="solid">
        <fgColor rgb="FFFDF3DC"/>
        <bgColor rgb="FFF0F0F0"/>
      </patternFill>
    </fill>
    <fill>
      <patternFill patternType="solid">
        <fgColor theme="5" tint="0.59987182226020086"/>
        <bgColor rgb="FFBFBFBF"/>
      </patternFill>
    </fill>
    <fill>
      <patternFill patternType="solid">
        <fgColor theme="4" tint="-0.499984740745262"/>
        <bgColor rgb="FF2C4A72"/>
      </patternFill>
    </fill>
    <fill>
      <patternFill patternType="solid">
        <fgColor theme="4" tint="-0.499984740745262"/>
        <bgColor indexed="64"/>
      </patternFill>
    </fill>
    <fill>
      <patternFill patternType="solid">
        <fgColor theme="0"/>
        <bgColor rgb="FF99CC00"/>
      </patternFill>
    </fill>
  </fills>
  <borders count="7">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top style="thin">
        <color rgb="FFBFBFBF"/>
      </top>
      <bottom style="thin">
        <color rgb="FFBFBFBF"/>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rgb="FFBFBFBF"/>
      </right>
      <top style="thin">
        <color rgb="FFBFBFBF"/>
      </top>
      <bottom style="thin">
        <color rgb="FFBFBFBF"/>
      </bottom>
      <diagonal/>
    </border>
    <border>
      <left style="thin">
        <color theme="0" tint="-0.14999847407452621"/>
      </left>
      <right style="thin">
        <color theme="0" tint="-0.14999847407452621"/>
      </right>
      <top style="thin">
        <color theme="0" tint="-0.14999847407452621"/>
      </top>
      <bottom style="thin">
        <color rgb="FFBFBFBF"/>
      </bottom>
      <diagonal/>
    </border>
  </borders>
  <cellStyleXfs count="1">
    <xf numFmtId="0" fontId="0" fillId="0" borderId="0"/>
  </cellStyleXfs>
  <cellXfs count="110">
    <xf numFmtId="0" fontId="0" fillId="0" borderId="0" xfId="0"/>
    <xf numFmtId="0" fontId="2" fillId="14" borderId="0" xfId="0" applyFont="1" applyFill="1"/>
    <xf numFmtId="0" fontId="5" fillId="0" borderId="0" xfId="0" applyFont="1"/>
    <xf numFmtId="0" fontId="6" fillId="7" borderId="1" xfId="0" applyFont="1" applyFill="1" applyBorder="1" applyAlignment="1">
      <alignment vertical="center"/>
    </xf>
    <xf numFmtId="4" fontId="7" fillId="7" borderId="1" xfId="0" applyNumberFormat="1" applyFont="1" applyFill="1" applyBorder="1" applyAlignment="1">
      <alignment vertical="center"/>
    </xf>
    <xf numFmtId="0" fontId="5" fillId="7" borderId="1" xfId="0" applyFont="1" applyFill="1" applyBorder="1" applyAlignment="1">
      <alignment vertical="center"/>
    </xf>
    <xf numFmtId="0" fontId="8" fillId="7" borderId="1" xfId="0" applyFont="1" applyFill="1" applyBorder="1" applyAlignment="1">
      <alignment horizontal="center" vertical="center" wrapText="1"/>
    </xf>
    <xf numFmtId="0" fontId="9" fillId="11" borderId="1" xfId="0" applyFont="1" applyFill="1" applyBorder="1" applyAlignment="1">
      <alignment horizontal="center" vertical="center"/>
    </xf>
    <xf numFmtId="4" fontId="9" fillId="11" borderId="1" xfId="0" applyNumberFormat="1" applyFont="1" applyFill="1" applyBorder="1" applyAlignment="1">
      <alignment horizontal="center" vertical="center"/>
    </xf>
    <xf numFmtId="164" fontId="9" fillId="11" borderId="1" xfId="0" applyNumberFormat="1" applyFont="1" applyFill="1" applyBorder="1" applyAlignment="1">
      <alignment horizontal="center" vertical="center"/>
    </xf>
    <xf numFmtId="0" fontId="9" fillId="6" borderId="1" xfId="0" applyFont="1" applyFill="1" applyBorder="1" applyAlignment="1">
      <alignment horizontal="center" vertical="center"/>
    </xf>
    <xf numFmtId="4" fontId="9" fillId="6" borderId="1" xfId="0" applyNumberFormat="1" applyFont="1" applyFill="1" applyBorder="1" applyAlignment="1">
      <alignment horizontal="center" vertical="center"/>
    </xf>
    <xf numFmtId="164" fontId="9" fillId="6" borderId="1" xfId="0" applyNumberFormat="1" applyFont="1" applyFill="1" applyBorder="1" applyAlignment="1">
      <alignment horizontal="center" vertical="center"/>
    </xf>
    <xf numFmtId="0" fontId="9" fillId="8" borderId="1" xfId="0" applyFont="1" applyFill="1" applyBorder="1" applyAlignment="1">
      <alignment horizontal="center" vertical="center"/>
    </xf>
    <xf numFmtId="4" fontId="9" fillId="8" borderId="1" xfId="0" applyNumberFormat="1" applyFont="1" applyFill="1" applyBorder="1" applyAlignment="1">
      <alignment horizontal="center" vertical="center"/>
    </xf>
    <xf numFmtId="164" fontId="9" fillId="8" borderId="1" xfId="0" applyNumberFormat="1" applyFont="1" applyFill="1" applyBorder="1" applyAlignment="1">
      <alignment horizontal="center" vertical="center"/>
    </xf>
    <xf numFmtId="0" fontId="10" fillId="7" borderId="1" xfId="0" applyFont="1" applyFill="1" applyBorder="1"/>
    <xf numFmtId="4" fontId="10" fillId="7" borderId="1" xfId="0" applyNumberFormat="1" applyFont="1" applyFill="1" applyBorder="1"/>
    <xf numFmtId="10" fontId="9" fillId="11" borderId="1" xfId="0" applyNumberFormat="1" applyFont="1" applyFill="1" applyBorder="1" applyAlignment="1">
      <alignment horizontal="center" vertical="center"/>
    </xf>
    <xf numFmtId="10" fontId="9" fillId="6" borderId="1" xfId="0" applyNumberFormat="1" applyFont="1" applyFill="1" applyBorder="1" applyAlignment="1">
      <alignment horizontal="center" vertical="center"/>
    </xf>
    <xf numFmtId="10" fontId="9" fillId="8" borderId="1" xfId="0" applyNumberFormat="1" applyFont="1" applyFill="1" applyBorder="1" applyAlignment="1">
      <alignment horizontal="center" vertical="center"/>
    </xf>
    <xf numFmtId="0" fontId="14" fillId="0" borderId="0" xfId="0" applyFont="1"/>
    <xf numFmtId="0" fontId="15" fillId="7" borderId="1" xfId="0" applyFont="1" applyFill="1" applyBorder="1" applyAlignment="1">
      <alignment horizontal="center" vertical="center" wrapText="1"/>
    </xf>
    <xf numFmtId="4" fontId="14" fillId="0" borderId="1" xfId="0" applyNumberFormat="1" applyFont="1" applyBorder="1"/>
    <xf numFmtId="0" fontId="10" fillId="7" borderId="1" xfId="0" applyFont="1" applyFill="1" applyBorder="1" applyAlignment="1">
      <alignment horizontal="center" vertical="center" wrapText="1"/>
    </xf>
    <xf numFmtId="0" fontId="17" fillId="6" borderId="1" xfId="0" applyFont="1" applyFill="1" applyBorder="1" applyAlignment="1">
      <alignment horizontal="center" vertical="center"/>
    </xf>
    <xf numFmtId="4" fontId="17" fillId="6" borderId="1" xfId="0" applyNumberFormat="1" applyFont="1" applyFill="1" applyBorder="1" applyAlignment="1">
      <alignment horizontal="center" vertical="center"/>
    </xf>
    <xf numFmtId="164" fontId="17" fillId="6" borderId="1" xfId="0" applyNumberFormat="1" applyFont="1" applyFill="1" applyBorder="1" applyAlignment="1">
      <alignment horizontal="center" vertical="center"/>
    </xf>
    <xf numFmtId="0" fontId="17" fillId="8" borderId="1" xfId="0" applyFont="1" applyFill="1" applyBorder="1" applyAlignment="1">
      <alignment horizontal="center" vertical="center"/>
    </xf>
    <xf numFmtId="4" fontId="17" fillId="8" borderId="1" xfId="0" applyNumberFormat="1" applyFont="1" applyFill="1" applyBorder="1" applyAlignment="1">
      <alignment horizontal="center" vertical="center"/>
    </xf>
    <xf numFmtId="164" fontId="17" fillId="8" borderId="1" xfId="0" applyNumberFormat="1" applyFont="1" applyFill="1" applyBorder="1" applyAlignment="1">
      <alignment horizontal="center" vertical="center"/>
    </xf>
    <xf numFmtId="4" fontId="9" fillId="6" borderId="2" xfId="0" applyNumberFormat="1" applyFont="1" applyFill="1" applyBorder="1" applyAlignment="1">
      <alignment horizontal="center" vertical="center"/>
    </xf>
    <xf numFmtId="4" fontId="9" fillId="6" borderId="3" xfId="0" applyNumberFormat="1" applyFont="1" applyFill="1" applyBorder="1" applyAlignment="1">
      <alignment horizontal="center" vertical="center"/>
    </xf>
    <xf numFmtId="4" fontId="9" fillId="12" borderId="4" xfId="0" applyNumberFormat="1" applyFont="1" applyFill="1" applyBorder="1" applyAlignment="1">
      <alignment horizontal="center" vertical="center"/>
    </xf>
    <xf numFmtId="4" fontId="9" fillId="6" borderId="5" xfId="0" applyNumberFormat="1" applyFont="1" applyFill="1" applyBorder="1" applyAlignment="1">
      <alignment horizontal="center" vertical="center"/>
    </xf>
    <xf numFmtId="4" fontId="9" fillId="8" borderId="3" xfId="0" applyNumberFormat="1" applyFont="1" applyFill="1" applyBorder="1" applyAlignment="1">
      <alignment horizontal="center" vertical="center"/>
    </xf>
    <xf numFmtId="4" fontId="9" fillId="8" borderId="5" xfId="0" applyNumberFormat="1" applyFont="1" applyFill="1" applyBorder="1" applyAlignment="1">
      <alignment horizontal="center" vertical="center"/>
    </xf>
    <xf numFmtId="4" fontId="9" fillId="12" borderId="6" xfId="0" applyNumberFormat="1" applyFont="1" applyFill="1" applyBorder="1" applyAlignment="1">
      <alignment horizontal="center" vertical="center"/>
    </xf>
    <xf numFmtId="0" fontId="19" fillId="14" borderId="0" xfId="0" applyFont="1" applyFill="1"/>
    <xf numFmtId="0" fontId="10" fillId="7" borderId="0" xfId="0" applyFont="1" applyFill="1" applyAlignment="1">
      <alignment vertical="top" wrapText="1"/>
    </xf>
    <xf numFmtId="167" fontId="21" fillId="0" borderId="0" xfId="0" applyNumberFormat="1" applyFont="1"/>
    <xf numFmtId="4" fontId="21" fillId="0" borderId="0" xfId="0" applyNumberFormat="1" applyFont="1"/>
    <xf numFmtId="4" fontId="7" fillId="0" borderId="0" xfId="0" applyNumberFormat="1" applyFont="1"/>
    <xf numFmtId="0" fontId="25" fillId="6" borderId="0" xfId="0" applyFont="1" applyFill="1" applyAlignment="1">
      <alignment vertical="top" wrapText="1"/>
    </xf>
    <xf numFmtId="0" fontId="25" fillId="6" borderId="0" xfId="0" applyFont="1" applyFill="1"/>
    <xf numFmtId="1" fontId="25" fillId="6" borderId="0" xfId="0" applyNumberFormat="1" applyFont="1" applyFill="1"/>
    <xf numFmtId="4" fontId="25" fillId="6" borderId="0" xfId="0" applyNumberFormat="1" applyFont="1" applyFill="1"/>
    <xf numFmtId="0" fontId="25" fillId="6" borderId="1" xfId="0" applyFont="1" applyFill="1" applyBorder="1" applyAlignment="1">
      <alignment vertical="center" wrapText="1"/>
    </xf>
    <xf numFmtId="4" fontId="26" fillId="6" borderId="1" xfId="0" applyNumberFormat="1" applyFont="1" applyFill="1" applyBorder="1" applyAlignment="1">
      <alignment vertical="center" wrapText="1"/>
    </xf>
    <xf numFmtId="0" fontId="25" fillId="8" borderId="1" xfId="0" applyFont="1" applyFill="1" applyBorder="1" applyAlignment="1">
      <alignment vertical="center" wrapText="1"/>
    </xf>
    <xf numFmtId="164" fontId="26" fillId="8" borderId="1" xfId="0" applyNumberFormat="1" applyFont="1" applyFill="1" applyBorder="1" applyAlignment="1">
      <alignment vertical="center" wrapText="1"/>
    </xf>
    <xf numFmtId="3" fontId="26" fillId="6" borderId="1" xfId="0" applyNumberFormat="1" applyFont="1" applyFill="1" applyBorder="1" applyAlignment="1">
      <alignment vertical="center" wrapText="1"/>
    </xf>
    <xf numFmtId="3" fontId="26" fillId="8" borderId="1" xfId="0" applyNumberFormat="1" applyFont="1" applyFill="1" applyBorder="1" applyAlignment="1">
      <alignment vertical="center" wrapText="1"/>
    </xf>
    <xf numFmtId="3" fontId="7" fillId="6" borderId="1" xfId="0" applyNumberFormat="1" applyFont="1" applyFill="1" applyBorder="1" applyAlignment="1">
      <alignment vertical="center" wrapText="1"/>
    </xf>
    <xf numFmtId="10" fontId="26" fillId="6" borderId="1" xfId="0" applyNumberFormat="1" applyFont="1" applyFill="1" applyBorder="1" applyAlignment="1">
      <alignment vertical="center" wrapText="1"/>
    </xf>
    <xf numFmtId="10" fontId="7" fillId="8" borderId="1" xfId="0" applyNumberFormat="1" applyFont="1" applyFill="1" applyBorder="1" applyAlignment="1">
      <alignment vertical="center" wrapText="1"/>
    </xf>
    <xf numFmtId="0" fontId="7" fillId="6" borderId="1" xfId="0" applyFont="1" applyFill="1" applyBorder="1" applyAlignment="1">
      <alignment vertical="center" wrapText="1"/>
    </xf>
    <xf numFmtId="0" fontId="25" fillId="6" borderId="1" xfId="0" applyFont="1" applyFill="1" applyBorder="1" applyAlignment="1">
      <alignment horizontal="center" vertical="center"/>
    </xf>
    <xf numFmtId="4" fontId="26" fillId="10" borderId="1" xfId="0" applyNumberFormat="1" applyFont="1" applyFill="1" applyBorder="1" applyAlignment="1">
      <alignment horizontal="center" vertical="center"/>
    </xf>
    <xf numFmtId="0" fontId="25" fillId="8" borderId="1" xfId="0" applyFont="1" applyFill="1" applyBorder="1" applyAlignment="1">
      <alignment horizontal="center" vertical="center"/>
    </xf>
    <xf numFmtId="4" fontId="26" fillId="8" borderId="1" xfId="0" applyNumberFormat="1" applyFont="1" applyFill="1" applyBorder="1" applyAlignment="1">
      <alignment horizontal="center" vertical="center"/>
    </xf>
    <xf numFmtId="4" fontId="26" fillId="6" borderId="1" xfId="0" applyNumberFormat="1" applyFont="1" applyFill="1" applyBorder="1" applyAlignment="1">
      <alignment horizontal="center" vertical="center"/>
    </xf>
    <xf numFmtId="0" fontId="25" fillId="6" borderId="1" xfId="0" applyFont="1" applyFill="1" applyBorder="1" applyAlignment="1">
      <alignment horizontal="center" vertical="center" wrapText="1"/>
    </xf>
    <xf numFmtId="3" fontId="26" fillId="0" borderId="1" xfId="0" applyNumberFormat="1" applyFont="1" applyBorder="1" applyAlignment="1">
      <alignment horizontal="center" vertical="center" wrapText="1"/>
    </xf>
    <xf numFmtId="10" fontId="26" fillId="0" borderId="1" xfId="0" applyNumberFormat="1" applyFont="1" applyBorder="1" applyAlignment="1">
      <alignment horizontal="center" vertical="center" wrapText="1"/>
    </xf>
    <xf numFmtId="0" fontId="25" fillId="6" borderId="1" xfId="0" applyFont="1" applyFill="1" applyBorder="1" applyAlignment="1">
      <alignment horizontal="left" vertical="center" wrapText="1"/>
    </xf>
    <xf numFmtId="0" fontId="25" fillId="8" borderId="1" xfId="0" applyFont="1" applyFill="1" applyBorder="1" applyAlignment="1">
      <alignment horizontal="center" vertical="center" wrapText="1"/>
    </xf>
    <xf numFmtId="0" fontId="25" fillId="8" borderId="1" xfId="0" applyFont="1" applyFill="1" applyBorder="1" applyAlignment="1">
      <alignment horizontal="left" vertical="center" wrapText="1"/>
    </xf>
    <xf numFmtId="10" fontId="26" fillId="0" borderId="1" xfId="0" applyNumberFormat="1" applyFont="1" applyBorder="1"/>
    <xf numFmtId="10" fontId="26" fillId="10" borderId="1" xfId="0" applyNumberFormat="1" applyFont="1" applyFill="1" applyBorder="1"/>
    <xf numFmtId="0" fontId="21" fillId="6" borderId="0" xfId="0" applyFont="1" applyFill="1" applyAlignment="1">
      <alignment vertical="top" wrapText="1"/>
    </xf>
    <xf numFmtId="4" fontId="7" fillId="6" borderId="0" xfId="0" applyNumberFormat="1" applyFont="1" applyFill="1" applyAlignment="1">
      <alignment vertical="top" wrapText="1"/>
    </xf>
    <xf numFmtId="0" fontId="21" fillId="8" borderId="0" xfId="0" applyFont="1" applyFill="1" applyAlignment="1">
      <alignment vertical="top" wrapText="1"/>
    </xf>
    <xf numFmtId="4" fontId="7" fillId="8" borderId="0" xfId="0" applyNumberFormat="1" applyFont="1" applyFill="1" applyAlignment="1">
      <alignment vertical="top" wrapText="1"/>
    </xf>
    <xf numFmtId="0" fontId="7" fillId="6" borderId="0" xfId="0" applyFont="1" applyFill="1" applyAlignment="1">
      <alignment vertical="top" wrapText="1"/>
    </xf>
    <xf numFmtId="165" fontId="7" fillId="6" borderId="0" xfId="0" applyNumberFormat="1" applyFont="1" applyFill="1" applyAlignment="1">
      <alignment vertical="top" wrapText="1"/>
    </xf>
    <xf numFmtId="4" fontId="26" fillId="6" borderId="0" xfId="0" applyNumberFormat="1" applyFont="1" applyFill="1" applyAlignment="1">
      <alignment vertical="top" wrapText="1"/>
    </xf>
    <xf numFmtId="164" fontId="26" fillId="6" borderId="0" xfId="0" applyNumberFormat="1" applyFont="1" applyFill="1" applyAlignment="1">
      <alignment vertical="top" wrapText="1"/>
    </xf>
    <xf numFmtId="166" fontId="7" fillId="6" borderId="0" xfId="0" applyNumberFormat="1" applyFont="1" applyFill="1" applyAlignment="1">
      <alignment vertical="top" wrapText="1"/>
    </xf>
    <xf numFmtId="164" fontId="26" fillId="8" borderId="0" xfId="0" applyNumberFormat="1" applyFont="1" applyFill="1" applyAlignment="1">
      <alignment vertical="top" wrapText="1"/>
    </xf>
    <xf numFmtId="166" fontId="7" fillId="8" borderId="0" xfId="0" applyNumberFormat="1" applyFont="1" applyFill="1" applyAlignment="1">
      <alignment vertical="top" wrapText="1"/>
    </xf>
    <xf numFmtId="0" fontId="28" fillId="15" borderId="0" xfId="0" applyFont="1" applyFill="1"/>
    <xf numFmtId="0" fontId="28" fillId="0" borderId="0" xfId="0" applyFont="1"/>
    <xf numFmtId="0" fontId="29" fillId="15" borderId="0" xfId="0" applyFont="1" applyFill="1"/>
    <xf numFmtId="0" fontId="22" fillId="13" borderId="0" xfId="0" applyFont="1" applyFill="1" applyAlignment="1">
      <alignment horizontal="left" vertical="center" indent="1"/>
    </xf>
    <xf numFmtId="0" fontId="24" fillId="5" borderId="0" xfId="0" applyFont="1" applyFill="1" applyAlignment="1">
      <alignment vertical="top" wrapText="1"/>
    </xf>
    <xf numFmtId="0" fontId="11" fillId="0" borderId="0" xfId="0" applyFont="1" applyAlignment="1">
      <alignment vertical="top" wrapText="1"/>
    </xf>
    <xf numFmtId="0" fontId="11" fillId="0" borderId="0" xfId="0" applyFont="1" applyAlignment="1">
      <alignment vertical="center" wrapText="1" indent="1"/>
    </xf>
    <xf numFmtId="0" fontId="24" fillId="9" borderId="0" xfId="0" applyFont="1" applyFill="1" applyAlignment="1">
      <alignment horizontal="left" vertical="center" indent="1"/>
    </xf>
    <xf numFmtId="0" fontId="27" fillId="9" borderId="0" xfId="0" applyFont="1" applyFill="1" applyAlignment="1">
      <alignment horizontal="left" vertical="center" indent="1"/>
    </xf>
    <xf numFmtId="0" fontId="22" fillId="2" borderId="0" xfId="0" applyFont="1" applyFill="1" applyAlignment="1">
      <alignment horizontal="left" vertical="center" indent="1"/>
    </xf>
    <xf numFmtId="0" fontId="23" fillId="3" borderId="0" xfId="0" applyFont="1" applyFill="1" applyAlignment="1">
      <alignment horizontal="left" vertical="center" indent="1"/>
    </xf>
    <xf numFmtId="0" fontId="5" fillId="4" borderId="0" xfId="0" applyFont="1" applyFill="1"/>
    <xf numFmtId="0" fontId="24" fillId="5" borderId="0" xfId="0" applyFont="1" applyFill="1" applyAlignment="1">
      <alignment horizontal="left" vertical="center" indent="1"/>
    </xf>
    <xf numFmtId="0" fontId="20" fillId="2" borderId="0" xfId="0" applyFont="1" applyFill="1" applyAlignment="1">
      <alignment horizontal="left" vertical="center" indent="1"/>
    </xf>
    <xf numFmtId="0" fontId="13" fillId="3" borderId="0" xfId="0" applyFont="1" applyFill="1" applyAlignment="1">
      <alignment horizontal="left" vertical="center" indent="1"/>
    </xf>
    <xf numFmtId="0" fontId="3" fillId="2" borderId="0" xfId="0" applyFont="1" applyFill="1" applyAlignment="1">
      <alignment horizontal="left" vertical="center" indent="1"/>
    </xf>
    <xf numFmtId="0" fontId="4" fillId="3" borderId="0" xfId="0" applyFont="1" applyFill="1" applyAlignment="1">
      <alignment horizontal="left" vertical="center" indent="1"/>
    </xf>
    <xf numFmtId="0" fontId="18" fillId="0" borderId="0" xfId="0" applyFont="1" applyAlignment="1">
      <alignment horizontal="left" vertical="center" indent="1"/>
    </xf>
    <xf numFmtId="0" fontId="16" fillId="2" borderId="0" xfId="0" applyFont="1" applyFill="1" applyAlignment="1">
      <alignment horizontal="left" vertical="center" indent="1"/>
    </xf>
    <xf numFmtId="0" fontId="12" fillId="2" borderId="0" xfId="0" applyFont="1" applyFill="1" applyAlignment="1">
      <alignment horizontal="left" vertical="center" indent="1"/>
    </xf>
    <xf numFmtId="0" fontId="30" fillId="0" borderId="0" xfId="0" applyFont="1" applyAlignment="1">
      <alignment vertical="center"/>
    </xf>
    <xf numFmtId="0" fontId="31"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vertical="center" indent="1"/>
    </xf>
    <xf numFmtId="0" fontId="31" fillId="0" borderId="0" xfId="0" applyFont="1" applyAlignment="1">
      <alignment horizontal="left" vertical="center" indent="1"/>
    </xf>
    <xf numFmtId="0" fontId="0" fillId="0" borderId="0" xfId="0" applyAlignment="1">
      <alignment horizontal="left" wrapText="1"/>
    </xf>
    <xf numFmtId="0" fontId="31" fillId="0" borderId="0" xfId="0" applyFont="1" applyAlignment="1">
      <alignment horizontal="left" vertical="center" wrapText="1"/>
    </xf>
    <xf numFmtId="0" fontId="32" fillId="14" borderId="0" xfId="0" applyFont="1" applyFill="1"/>
    <xf numFmtId="0" fontId="33" fillId="14" borderId="0" xfId="0" applyFont="1" applyFill="1" applyAlignment="1">
      <alignment vertical="center"/>
    </xf>
  </cellXfs>
  <cellStyles count="1">
    <cellStyle name="Normal" xfId="0" builtinId="0"/>
  </cellStyles>
  <dxfs count="9">
    <dxf>
      <fill>
        <patternFill>
          <bgColor rgb="FFF8D7DA"/>
        </patternFill>
      </fill>
    </dxf>
    <dxf>
      <fill>
        <patternFill>
          <bgColor rgb="FFF0F0F0"/>
        </patternFill>
      </fill>
    </dxf>
    <dxf>
      <fill>
        <patternFill>
          <bgColor rgb="FFF8D7DA"/>
        </patternFill>
      </fill>
    </dxf>
    <dxf>
      <fill>
        <patternFill>
          <bgColor rgb="FFF0F0F0"/>
        </patternFill>
      </fill>
    </dxf>
    <dxf>
      <fill>
        <patternFill>
          <bgColor rgb="FFF8D7DA"/>
        </patternFill>
      </fill>
    </dxf>
    <dxf>
      <fill>
        <patternFill>
          <bgColor rgb="FFF0F0F0"/>
        </patternFill>
      </fill>
    </dxf>
    <dxf>
      <fill>
        <patternFill>
          <bgColor rgb="FFF0F0F0"/>
        </patternFill>
      </fill>
    </dxf>
    <dxf>
      <fill>
        <patternFill>
          <bgColor rgb="FFF8D7DA"/>
        </patternFill>
      </fill>
    </dxf>
    <dxf>
      <fill>
        <patternFill>
          <bgColor rgb="FFF0F0F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DF3DC"/>
      <rgbColor rgb="FFDCEAF6"/>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E8EEF3"/>
      <rgbColor rgb="FFF0F0F0"/>
      <rgbColor rgb="FFFFF2AA"/>
      <rgbColor rgb="FF99CCFF"/>
      <rgbColor rgb="FFF8D7DA"/>
      <rgbColor rgb="FFCC99FF"/>
      <rgbColor rgb="FFE6B9B8"/>
      <rgbColor rgb="FF3366FF"/>
      <rgbColor rgb="FF33CCCC"/>
      <rgbColor rgb="FF99CC00"/>
      <rgbColor rgb="FFFFCC00"/>
      <rgbColor rgb="FFC9A227"/>
      <rgbColor rgb="FFFF6600"/>
      <rgbColor rgb="FF3E6B8A"/>
      <rgbColor rgb="FFA6A6A6"/>
      <rgbColor rgb="FF1F3864"/>
      <rgbColor rgb="FF2E7D6E"/>
      <rgbColor rgb="FF003300"/>
      <rgbColor rgb="FF333300"/>
      <rgbColor rgb="FF993300"/>
      <rgbColor rgb="FF993366"/>
      <rgbColor rgb="FF2C4A72"/>
      <rgbColor rgb="FF59595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5F6CB-74A1-42BE-A809-B4D71473E458}">
  <dimension ref="A1:E48"/>
  <sheetViews>
    <sheetView tabSelected="1" view="pageBreakPreview" topLeftCell="A14" zoomScaleNormal="100" zoomScaleSheetLayoutView="100" workbookViewId="0">
      <selection activeCell="C15" sqref="C15"/>
    </sheetView>
  </sheetViews>
  <sheetFormatPr defaultColWidth="18.42578125" defaultRowHeight="15" x14ac:dyDescent="0.25"/>
  <cols>
    <col min="1" max="1" width="28" customWidth="1"/>
    <col min="2" max="2" width="24.5703125" customWidth="1"/>
    <col min="3" max="3" width="84.5703125" customWidth="1"/>
  </cols>
  <sheetData>
    <row r="1" spans="1:5" ht="20.25" x14ac:dyDescent="0.25">
      <c r="A1" s="84" t="s">
        <v>128</v>
      </c>
      <c r="B1" s="84"/>
      <c r="C1" s="84"/>
      <c r="D1" s="84"/>
      <c r="E1" s="84"/>
    </row>
    <row r="2" spans="1:5" ht="20.25" x14ac:dyDescent="0.25">
      <c r="A2" s="90" t="s">
        <v>130</v>
      </c>
      <c r="B2" s="90"/>
      <c r="C2" s="90"/>
      <c r="D2" s="90"/>
      <c r="E2" s="90"/>
    </row>
    <row r="3" spans="1:5" x14ac:dyDescent="0.25">
      <c r="A3" s="108"/>
      <c r="B3" s="108"/>
      <c r="C3" s="108"/>
    </row>
    <row r="4" spans="1:5" ht="24.75" customHeight="1" x14ac:dyDescent="0.25">
      <c r="A4" s="109" t="s">
        <v>132</v>
      </c>
      <c r="B4" s="108"/>
      <c r="C4" s="108"/>
    </row>
    <row r="5" spans="1:5" ht="15.95" customHeight="1" x14ac:dyDescent="0.25"/>
    <row r="6" spans="1:5" ht="15.95" customHeight="1" x14ac:dyDescent="0.25">
      <c r="A6" s="101" t="s">
        <v>133</v>
      </c>
    </row>
    <row r="7" spans="1:5" ht="15.95" customHeight="1" x14ac:dyDescent="0.25"/>
    <row r="8" spans="1:5" ht="15.95" customHeight="1" x14ac:dyDescent="0.25">
      <c r="A8" s="102" t="s">
        <v>134</v>
      </c>
      <c r="B8" s="102" t="s">
        <v>135</v>
      </c>
      <c r="C8" s="102" t="s">
        <v>136</v>
      </c>
    </row>
    <row r="9" spans="1:5" ht="40.5" customHeight="1" x14ac:dyDescent="0.25">
      <c r="A9" s="103" t="s">
        <v>6</v>
      </c>
      <c r="B9" s="103" t="s">
        <v>137</v>
      </c>
      <c r="C9" s="103" t="s">
        <v>138</v>
      </c>
    </row>
    <row r="10" spans="1:5" ht="15.95" customHeight="1" x14ac:dyDescent="0.25">
      <c r="A10" s="103" t="s">
        <v>9</v>
      </c>
      <c r="B10" s="103" t="s">
        <v>139</v>
      </c>
      <c r="C10" s="103" t="s">
        <v>140</v>
      </c>
    </row>
    <row r="11" spans="1:5" ht="15.95" customHeight="1" x14ac:dyDescent="0.25">
      <c r="A11" s="103" t="s">
        <v>12</v>
      </c>
      <c r="B11" s="103" t="s">
        <v>141</v>
      </c>
      <c r="C11" s="103" t="s">
        <v>142</v>
      </c>
    </row>
    <row r="12" spans="1:5" ht="15.95" customHeight="1" x14ac:dyDescent="0.25">
      <c r="A12" s="103" t="s">
        <v>143</v>
      </c>
      <c r="B12" s="103" t="s">
        <v>144</v>
      </c>
      <c r="C12" s="103" t="s">
        <v>145</v>
      </c>
    </row>
    <row r="13" spans="1:5" ht="15.95" customHeight="1" x14ac:dyDescent="0.25">
      <c r="A13" s="103" t="s">
        <v>17</v>
      </c>
      <c r="B13" s="103" t="s">
        <v>146</v>
      </c>
      <c r="C13" s="103" t="s">
        <v>147</v>
      </c>
    </row>
    <row r="14" spans="1:5" ht="15.95" customHeight="1" x14ac:dyDescent="0.25">
      <c r="A14" s="103" t="s">
        <v>148</v>
      </c>
      <c r="B14" s="103" t="s">
        <v>149</v>
      </c>
      <c r="C14" s="103" t="s">
        <v>150</v>
      </c>
    </row>
    <row r="15" spans="1:5" ht="36" customHeight="1" x14ac:dyDescent="0.25">
      <c r="A15" s="103" t="s">
        <v>151</v>
      </c>
      <c r="B15" s="103" t="s">
        <v>152</v>
      </c>
      <c r="C15" s="103" t="s">
        <v>153</v>
      </c>
    </row>
    <row r="16" spans="1:5" ht="15.95" customHeight="1" x14ac:dyDescent="0.25">
      <c r="A16" s="103" t="s">
        <v>154</v>
      </c>
      <c r="B16" s="103" t="s">
        <v>155</v>
      </c>
      <c r="C16" s="103" t="s">
        <v>156</v>
      </c>
    </row>
    <row r="17" spans="1:3" ht="15.95" customHeight="1" x14ac:dyDescent="0.25"/>
    <row r="18" spans="1:3" ht="24" customHeight="1" x14ac:dyDescent="0.25">
      <c r="A18" s="101" t="s">
        <v>157</v>
      </c>
    </row>
    <row r="19" spans="1:3" ht="15.95" customHeight="1" x14ac:dyDescent="0.25"/>
    <row r="20" spans="1:3" ht="15.95" customHeight="1" x14ac:dyDescent="0.25">
      <c r="A20" t="s">
        <v>158</v>
      </c>
    </row>
    <row r="21" spans="1:3" ht="15.95" customHeight="1" x14ac:dyDescent="0.25">
      <c r="A21" s="104"/>
    </row>
    <row r="22" spans="1:3" ht="15.95" customHeight="1" x14ac:dyDescent="0.25">
      <c r="A22" s="105" t="s">
        <v>159</v>
      </c>
    </row>
    <row r="23" spans="1:3" ht="15.95" customHeight="1" x14ac:dyDescent="0.25">
      <c r="A23" s="105" t="s">
        <v>160</v>
      </c>
    </row>
    <row r="24" spans="1:3" ht="15.95" customHeight="1" x14ac:dyDescent="0.25">
      <c r="A24" s="105" t="s">
        <v>161</v>
      </c>
    </row>
    <row r="25" spans="1:3" ht="15.95" customHeight="1" x14ac:dyDescent="0.25"/>
    <row r="26" spans="1:3" ht="15.95" customHeight="1" x14ac:dyDescent="0.25">
      <c r="A26" s="101" t="s">
        <v>162</v>
      </c>
    </row>
    <row r="27" spans="1:3" ht="15.95" customHeight="1" x14ac:dyDescent="0.25">
      <c r="A27" s="104"/>
    </row>
    <row r="28" spans="1:3" ht="15.95" customHeight="1" x14ac:dyDescent="0.25">
      <c r="A28" s="105" t="s">
        <v>163</v>
      </c>
    </row>
    <row r="29" spans="1:3" ht="15.95" customHeight="1" x14ac:dyDescent="0.25">
      <c r="A29" s="105" t="s">
        <v>164</v>
      </c>
    </row>
    <row r="30" spans="1:3" ht="30.75" customHeight="1" x14ac:dyDescent="0.25">
      <c r="A30" s="107" t="s">
        <v>165</v>
      </c>
      <c r="B30" s="107"/>
      <c r="C30" s="107"/>
    </row>
    <row r="31" spans="1:3" ht="15.95" customHeight="1" x14ac:dyDescent="0.25"/>
    <row r="32" spans="1:3" ht="15.95" customHeight="1" x14ac:dyDescent="0.25">
      <c r="A32" s="101" t="s">
        <v>166</v>
      </c>
    </row>
    <row r="33" spans="1:3" ht="15.95" customHeight="1" x14ac:dyDescent="0.25"/>
    <row r="34" spans="1:3" ht="39" customHeight="1" x14ac:dyDescent="0.25">
      <c r="A34" s="106" t="s">
        <v>167</v>
      </c>
      <c r="B34" s="106"/>
      <c r="C34" s="106"/>
    </row>
    <row r="35" spans="1:3" ht="15.95" customHeight="1" x14ac:dyDescent="0.25"/>
    <row r="36" spans="1:3" ht="15.95" customHeight="1" x14ac:dyDescent="0.25">
      <c r="A36" s="101" t="s">
        <v>168</v>
      </c>
    </row>
    <row r="37" spans="1:3" ht="15.95" customHeight="1" x14ac:dyDescent="0.25">
      <c r="A37" s="104"/>
    </row>
    <row r="38" spans="1:3" ht="15.95" customHeight="1" x14ac:dyDescent="0.25">
      <c r="A38" s="104" t="s">
        <v>169</v>
      </c>
    </row>
    <row r="39" spans="1:3" ht="15.95" customHeight="1" x14ac:dyDescent="0.25">
      <c r="A39" s="104" t="s">
        <v>170</v>
      </c>
    </row>
    <row r="40" spans="1:3" ht="15.95" customHeight="1" x14ac:dyDescent="0.25">
      <c r="A40" s="104" t="s">
        <v>171</v>
      </c>
    </row>
    <row r="41" spans="1:3" ht="15.95" customHeight="1" x14ac:dyDescent="0.25"/>
    <row r="42" spans="1:3" ht="15.95" customHeight="1" x14ac:dyDescent="0.25">
      <c r="A42" s="101" t="s">
        <v>172</v>
      </c>
    </row>
    <row r="43" spans="1:3" ht="15.95" customHeight="1" x14ac:dyDescent="0.25">
      <c r="A43" s="104"/>
    </row>
    <row r="44" spans="1:3" ht="15.95" customHeight="1" x14ac:dyDescent="0.25">
      <c r="A44" s="104" t="s">
        <v>173</v>
      </c>
    </row>
    <row r="45" spans="1:3" ht="15.95" customHeight="1" x14ac:dyDescent="0.25">
      <c r="A45" s="104" t="s">
        <v>174</v>
      </c>
    </row>
    <row r="46" spans="1:3" ht="15.95" customHeight="1" x14ac:dyDescent="0.25">
      <c r="A46" s="104" t="s">
        <v>175</v>
      </c>
    </row>
    <row r="47" spans="1:3" ht="15.95" customHeight="1" x14ac:dyDescent="0.25">
      <c r="A47" s="104" t="s">
        <v>176</v>
      </c>
    </row>
    <row r="48" spans="1:3" ht="15.95" customHeight="1" x14ac:dyDescent="0.25">
      <c r="A48" s="104" t="s">
        <v>177</v>
      </c>
    </row>
  </sheetData>
  <mergeCells count="4">
    <mergeCell ref="A34:C34"/>
    <mergeCell ref="A30:C30"/>
    <mergeCell ref="A1:E1"/>
    <mergeCell ref="A2:E2"/>
  </mergeCells>
  <pageMargins left="0.7" right="0.7" top="0.75" bottom="0.75" header="0.3" footer="0.3"/>
  <pageSetup scale="6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8"/>
  <sheetViews>
    <sheetView showGridLines="0" zoomScaleNormal="100" workbookViewId="0">
      <pane ySplit="7" topLeftCell="A29" activePane="bottomLeft" state="frozen"/>
      <selection pane="bottomLeft" sqref="A1:E2"/>
    </sheetView>
  </sheetViews>
  <sheetFormatPr defaultColWidth="8.5703125" defaultRowHeight="15" x14ac:dyDescent="0.25"/>
  <cols>
    <col min="1" max="1" width="32" style="2" customWidth="1"/>
    <col min="2" max="2" width="20" style="2" customWidth="1"/>
    <col min="3" max="3" width="18" style="2" customWidth="1"/>
    <col min="4" max="4" width="42" style="2" customWidth="1"/>
    <col min="5" max="5" width="19.28515625" style="2" customWidth="1"/>
    <col min="6" max="6" width="8.5703125" style="2"/>
    <col min="7" max="11" width="13" style="2" customWidth="1"/>
    <col min="12" max="16384" width="8.5703125" style="2"/>
  </cols>
  <sheetData>
    <row r="1" spans="1:11" ht="20.25" x14ac:dyDescent="0.25">
      <c r="A1" s="84" t="s">
        <v>128</v>
      </c>
      <c r="B1" s="84"/>
      <c r="C1" s="84"/>
      <c r="D1" s="84"/>
      <c r="E1" s="84"/>
    </row>
    <row r="2" spans="1:11" ht="31.5" customHeight="1" x14ac:dyDescent="0.25">
      <c r="A2" s="90" t="s">
        <v>130</v>
      </c>
      <c r="B2" s="90"/>
      <c r="C2" s="90"/>
      <c r="D2" s="90"/>
      <c r="E2" s="90"/>
    </row>
    <row r="3" spans="1:11" ht="21.75" customHeight="1" x14ac:dyDescent="0.25">
      <c r="A3" s="91" t="s">
        <v>0</v>
      </c>
      <c r="B3" s="91"/>
      <c r="C3" s="91"/>
      <c r="D3" s="91"/>
      <c r="E3" s="91"/>
    </row>
    <row r="4" spans="1:11" ht="6" customHeight="1" x14ac:dyDescent="0.25">
      <c r="A4" s="92"/>
      <c r="B4" s="92"/>
      <c r="C4" s="92"/>
      <c r="D4" s="92"/>
      <c r="E4" s="92"/>
    </row>
    <row r="5" spans="1:11" s="82" customFormat="1" ht="15" customHeight="1" x14ac:dyDescent="0.25">
      <c r="A5" s="83" t="s">
        <v>131</v>
      </c>
      <c r="B5" s="83"/>
      <c r="C5" s="83"/>
      <c r="D5" s="81"/>
      <c r="E5" s="81"/>
    </row>
    <row r="7" spans="1:11" ht="21.75" customHeight="1" x14ac:dyDescent="0.25">
      <c r="A7" s="93" t="s">
        <v>1</v>
      </c>
      <c r="B7" s="93"/>
      <c r="C7" s="93"/>
      <c r="D7" s="93"/>
      <c r="E7" s="93"/>
      <c r="G7" s="43"/>
      <c r="H7" s="44"/>
      <c r="I7" s="44"/>
      <c r="J7" s="44"/>
      <c r="K7" s="44"/>
    </row>
    <row r="8" spans="1:11" ht="36.75" customHeight="1" x14ac:dyDescent="0.25">
      <c r="G8" s="43"/>
      <c r="H8" s="43"/>
      <c r="I8" s="43"/>
      <c r="J8" s="43"/>
      <c r="K8" s="43"/>
    </row>
    <row r="9" spans="1:11" ht="30" customHeight="1" x14ac:dyDescent="0.25">
      <c r="A9" s="24" t="s">
        <v>2</v>
      </c>
      <c r="B9" s="24" t="s">
        <v>3</v>
      </c>
      <c r="C9" s="24" t="s">
        <v>4</v>
      </c>
      <c r="D9" s="24" t="s">
        <v>5</v>
      </c>
      <c r="E9" s="24"/>
      <c r="G9" s="45"/>
      <c r="H9" s="46"/>
      <c r="I9" s="46"/>
      <c r="J9" s="46"/>
      <c r="K9" s="46"/>
    </row>
    <row r="10" spans="1:11" ht="33.75" customHeight="1" x14ac:dyDescent="0.25">
      <c r="A10" s="47" t="s">
        <v>6</v>
      </c>
      <c r="B10" s="48">
        <v>371.76</v>
      </c>
      <c r="C10" s="47" t="s">
        <v>7</v>
      </c>
      <c r="D10" s="47" t="s">
        <v>8</v>
      </c>
      <c r="G10" s="45"/>
      <c r="H10" s="46"/>
      <c r="I10" s="46"/>
      <c r="J10" s="46"/>
      <c r="K10" s="46"/>
    </row>
    <row r="11" spans="1:11" ht="29.25" customHeight="1" x14ac:dyDescent="0.25">
      <c r="A11" s="49" t="s">
        <v>9</v>
      </c>
      <c r="B11" s="50">
        <v>1.5</v>
      </c>
      <c r="C11" s="49" t="s">
        <v>10</v>
      </c>
      <c r="D11" s="49" t="s">
        <v>11</v>
      </c>
      <c r="G11" s="45"/>
      <c r="H11" s="46"/>
      <c r="I11" s="46"/>
      <c r="J11" s="46"/>
      <c r="K11" s="46"/>
    </row>
    <row r="12" spans="1:11" ht="34.5" customHeight="1" x14ac:dyDescent="0.25">
      <c r="A12" s="47" t="s">
        <v>12</v>
      </c>
      <c r="B12" s="51">
        <v>2</v>
      </c>
      <c r="C12" s="47" t="s">
        <v>13</v>
      </c>
      <c r="D12" s="47" t="s">
        <v>14</v>
      </c>
      <c r="G12" s="45"/>
      <c r="H12" s="46"/>
      <c r="I12" s="46"/>
      <c r="J12" s="46"/>
      <c r="K12" s="46"/>
    </row>
    <row r="13" spans="1:11" ht="34.5" customHeight="1" x14ac:dyDescent="0.25">
      <c r="A13" s="49" t="s">
        <v>15</v>
      </c>
      <c r="B13" s="52">
        <v>49</v>
      </c>
      <c r="C13" s="49" t="s">
        <v>13</v>
      </c>
      <c r="D13" s="49" t="s">
        <v>16</v>
      </c>
      <c r="G13" s="45"/>
      <c r="H13" s="46"/>
      <c r="I13" s="46"/>
      <c r="J13" s="46"/>
      <c r="K13" s="46"/>
    </row>
    <row r="14" spans="1:11" ht="15" customHeight="1" x14ac:dyDescent="0.25">
      <c r="A14" s="47" t="s">
        <v>17</v>
      </c>
      <c r="B14" s="53">
        <f>B12+B13</f>
        <v>51</v>
      </c>
      <c r="C14" s="47" t="s">
        <v>13</v>
      </c>
      <c r="D14" s="47" t="s">
        <v>18</v>
      </c>
      <c r="G14" s="45"/>
      <c r="H14" s="46"/>
      <c r="I14" s="46"/>
      <c r="J14" s="46"/>
      <c r="K14" s="46"/>
    </row>
    <row r="15" spans="1:11" ht="15" customHeight="1" x14ac:dyDescent="0.25">
      <c r="A15" s="47" t="s">
        <v>19</v>
      </c>
      <c r="B15" s="54">
        <v>8.6499999999999994E-2</v>
      </c>
      <c r="C15" s="47" t="s">
        <v>20</v>
      </c>
      <c r="D15" s="47" t="s">
        <v>21</v>
      </c>
      <c r="G15" s="45"/>
      <c r="H15" s="46"/>
      <c r="I15" s="46"/>
      <c r="J15" s="46"/>
      <c r="K15" s="46"/>
    </row>
    <row r="16" spans="1:11" ht="15" customHeight="1" x14ac:dyDescent="0.25">
      <c r="A16" s="49" t="s">
        <v>22</v>
      </c>
      <c r="B16" s="55">
        <f>B15/4</f>
        <v>2.1624999999999998E-2</v>
      </c>
      <c r="C16" s="49" t="s">
        <v>23</v>
      </c>
      <c r="D16" s="49" t="s">
        <v>24</v>
      </c>
      <c r="G16" s="45"/>
      <c r="H16" s="46"/>
      <c r="I16" s="46"/>
      <c r="J16" s="46"/>
      <c r="K16" s="46"/>
    </row>
    <row r="17" spans="1:11" ht="23.25" customHeight="1" x14ac:dyDescent="0.25">
      <c r="A17" s="47" t="s">
        <v>25</v>
      </c>
      <c r="B17" s="56" t="str">
        <f>IF(B14&lt;=100,"OK","INCREASE TEMPLATE SIZE - see Sculpting_Schedule notes")</f>
        <v>OK</v>
      </c>
      <c r="C17" s="47"/>
      <c r="D17" s="47" t="s">
        <v>26</v>
      </c>
      <c r="G17" s="45"/>
      <c r="H17" s="46"/>
      <c r="I17" s="46"/>
      <c r="J17" s="46"/>
      <c r="K17" s="46"/>
    </row>
    <row r="18" spans="1:11" ht="15" customHeight="1" x14ac:dyDescent="0.25">
      <c r="G18" s="45"/>
      <c r="H18" s="46"/>
      <c r="I18" s="46"/>
      <c r="J18" s="46"/>
      <c r="K18" s="46"/>
    </row>
    <row r="19" spans="1:11" ht="19.5" customHeight="1" x14ac:dyDescent="0.25">
      <c r="A19" s="89" t="s">
        <v>27</v>
      </c>
      <c r="B19" s="89"/>
      <c r="C19" s="89"/>
      <c r="D19" s="89"/>
      <c r="E19" s="89"/>
      <c r="G19" s="45"/>
      <c r="H19" s="46"/>
      <c r="I19" s="46"/>
      <c r="J19" s="46"/>
      <c r="K19" s="46"/>
    </row>
    <row r="20" spans="1:11" ht="31.5" customHeight="1" x14ac:dyDescent="0.25">
      <c r="A20" s="87" t="s">
        <v>28</v>
      </c>
      <c r="B20" s="87"/>
      <c r="C20" s="87"/>
      <c r="D20" s="87"/>
      <c r="E20" s="87"/>
      <c r="G20" s="45"/>
      <c r="H20" s="46"/>
      <c r="I20" s="46"/>
      <c r="J20" s="46"/>
      <c r="K20" s="46"/>
    </row>
    <row r="21" spans="1:11" ht="30" customHeight="1" x14ac:dyDescent="0.25">
      <c r="A21" s="24" t="s">
        <v>29</v>
      </c>
      <c r="B21" s="24" t="s">
        <v>30</v>
      </c>
      <c r="C21" s="24"/>
      <c r="D21" s="24"/>
      <c r="E21" s="24"/>
      <c r="G21" s="45"/>
      <c r="H21" s="46"/>
      <c r="I21" s="46"/>
      <c r="J21" s="46"/>
      <c r="K21" s="46"/>
    </row>
    <row r="22" spans="1:11" ht="15" customHeight="1" x14ac:dyDescent="0.25">
      <c r="A22" s="57">
        <v>1</v>
      </c>
      <c r="B22" s="58">
        <v>60</v>
      </c>
      <c r="G22" s="45"/>
      <c r="H22" s="46"/>
      <c r="I22" s="46"/>
      <c r="J22" s="46"/>
      <c r="K22" s="46"/>
    </row>
    <row r="23" spans="1:11" ht="15" customHeight="1" x14ac:dyDescent="0.25">
      <c r="A23" s="59">
        <v>2</v>
      </c>
      <c r="B23" s="60">
        <v>60</v>
      </c>
      <c r="G23" s="45"/>
      <c r="H23" s="46"/>
      <c r="I23" s="46"/>
      <c r="J23" s="46"/>
      <c r="K23" s="46"/>
    </row>
    <row r="24" spans="1:11" ht="15" customHeight="1" x14ac:dyDescent="0.25">
      <c r="A24" s="57">
        <v>3</v>
      </c>
      <c r="B24" s="61">
        <v>60</v>
      </c>
      <c r="G24" s="45"/>
      <c r="H24" s="46"/>
      <c r="I24" s="46"/>
      <c r="J24" s="46"/>
      <c r="K24" s="46"/>
    </row>
    <row r="25" spans="1:11" ht="15" customHeight="1" x14ac:dyDescent="0.25">
      <c r="A25" s="59">
        <v>4</v>
      </c>
      <c r="B25" s="60">
        <v>60</v>
      </c>
      <c r="G25" s="45"/>
      <c r="H25" s="46"/>
      <c r="I25" s="46"/>
      <c r="J25" s="46"/>
      <c r="K25" s="46"/>
    </row>
    <row r="26" spans="1:11" ht="15" customHeight="1" x14ac:dyDescent="0.25">
      <c r="A26" s="57">
        <v>5</v>
      </c>
      <c r="B26" s="61">
        <v>60</v>
      </c>
      <c r="G26" s="45"/>
      <c r="H26" s="46"/>
      <c r="I26" s="46"/>
      <c r="J26" s="46"/>
      <c r="K26" s="46"/>
    </row>
    <row r="27" spans="1:11" ht="15" customHeight="1" x14ac:dyDescent="0.25">
      <c r="A27" s="59">
        <v>6</v>
      </c>
      <c r="B27" s="60">
        <v>60</v>
      </c>
      <c r="G27" s="45"/>
      <c r="H27" s="46"/>
      <c r="I27" s="46"/>
      <c r="J27" s="46"/>
      <c r="K27" s="46"/>
    </row>
    <row r="28" spans="1:11" ht="15" customHeight="1" x14ac:dyDescent="0.25">
      <c r="A28" s="57">
        <v>7</v>
      </c>
      <c r="B28" s="61">
        <v>60</v>
      </c>
      <c r="G28" s="45"/>
      <c r="H28" s="46"/>
      <c r="I28" s="46"/>
      <c r="J28" s="46"/>
      <c r="K28" s="46"/>
    </row>
    <row r="29" spans="1:11" ht="15" customHeight="1" x14ac:dyDescent="0.25">
      <c r="A29" s="59">
        <v>8</v>
      </c>
      <c r="B29" s="60">
        <v>60</v>
      </c>
      <c r="G29" s="45"/>
      <c r="H29" s="46"/>
      <c r="I29" s="46"/>
      <c r="J29" s="46"/>
      <c r="K29" s="46"/>
    </row>
    <row r="30" spans="1:11" ht="15" customHeight="1" x14ac:dyDescent="0.25">
      <c r="A30" s="57">
        <v>9</v>
      </c>
      <c r="B30" s="61">
        <v>60</v>
      </c>
      <c r="G30" s="45"/>
      <c r="H30" s="46"/>
      <c r="I30" s="46"/>
      <c r="J30" s="46"/>
      <c r="K30" s="46"/>
    </row>
    <row r="31" spans="1:11" ht="15" customHeight="1" x14ac:dyDescent="0.25">
      <c r="A31" s="59">
        <v>10</v>
      </c>
      <c r="B31" s="60">
        <v>60</v>
      </c>
      <c r="G31" s="45"/>
      <c r="H31" s="46"/>
      <c r="I31" s="46"/>
      <c r="J31" s="46"/>
      <c r="K31" s="46"/>
    </row>
    <row r="32" spans="1:11" ht="15" customHeight="1" x14ac:dyDescent="0.25">
      <c r="A32" s="57">
        <v>11</v>
      </c>
      <c r="B32" s="61">
        <v>60</v>
      </c>
      <c r="G32" s="45"/>
      <c r="H32" s="46"/>
      <c r="I32" s="46"/>
      <c r="J32" s="46"/>
      <c r="K32" s="46"/>
    </row>
    <row r="33" spans="1:11" ht="15" customHeight="1" x14ac:dyDescent="0.25">
      <c r="A33" s="59">
        <v>12</v>
      </c>
      <c r="B33" s="60">
        <v>60</v>
      </c>
      <c r="G33" s="45"/>
      <c r="H33" s="46"/>
      <c r="I33" s="46"/>
      <c r="J33" s="46"/>
      <c r="K33" s="46"/>
    </row>
    <row r="34" spans="1:11" ht="15" customHeight="1" x14ac:dyDescent="0.25">
      <c r="A34" s="57">
        <v>13</v>
      </c>
      <c r="B34" s="61">
        <v>60</v>
      </c>
      <c r="G34" s="45"/>
      <c r="H34" s="46"/>
      <c r="I34" s="46"/>
      <c r="J34" s="46"/>
      <c r="K34" s="46"/>
    </row>
    <row r="35" spans="1:11" ht="15" customHeight="1" x14ac:dyDescent="0.25">
      <c r="A35" s="59">
        <v>14</v>
      </c>
      <c r="B35" s="60">
        <v>60</v>
      </c>
      <c r="G35" s="45"/>
      <c r="H35" s="46"/>
      <c r="I35" s="46"/>
      <c r="J35" s="46"/>
      <c r="K35" s="46"/>
    </row>
    <row r="36" spans="1:11" ht="15" customHeight="1" x14ac:dyDescent="0.25">
      <c r="A36" s="57">
        <v>15</v>
      </c>
      <c r="B36" s="61">
        <v>60</v>
      </c>
      <c r="G36" s="45"/>
      <c r="H36" s="46"/>
      <c r="I36" s="46"/>
      <c r="J36" s="46"/>
      <c r="K36" s="46"/>
    </row>
    <row r="37" spans="1:11" ht="15" customHeight="1" x14ac:dyDescent="0.25">
      <c r="A37" s="59">
        <v>16</v>
      </c>
      <c r="B37" s="60">
        <v>0</v>
      </c>
      <c r="G37" s="45"/>
      <c r="H37" s="46"/>
      <c r="I37" s="46"/>
      <c r="J37" s="46"/>
      <c r="K37" s="46"/>
    </row>
    <row r="38" spans="1:11" ht="15" customHeight="1" x14ac:dyDescent="0.25">
      <c r="A38" s="57">
        <v>17</v>
      </c>
      <c r="B38" s="61">
        <v>0</v>
      </c>
      <c r="G38" s="45"/>
      <c r="H38" s="46"/>
      <c r="I38" s="46"/>
      <c r="J38" s="46"/>
      <c r="K38" s="46"/>
    </row>
    <row r="39" spans="1:11" ht="15" customHeight="1" x14ac:dyDescent="0.25">
      <c r="A39" s="59">
        <v>18</v>
      </c>
      <c r="B39" s="60">
        <v>0</v>
      </c>
      <c r="G39" s="45"/>
      <c r="H39" s="46"/>
      <c r="I39" s="46"/>
      <c r="J39" s="46"/>
      <c r="K39" s="46"/>
    </row>
    <row r="40" spans="1:11" ht="15" customHeight="1" x14ac:dyDescent="0.25">
      <c r="A40" s="57">
        <v>19</v>
      </c>
      <c r="B40" s="61">
        <v>0</v>
      </c>
      <c r="G40" s="45"/>
      <c r="H40" s="46"/>
      <c r="I40" s="46"/>
      <c r="J40" s="46"/>
      <c r="K40" s="46"/>
    </row>
    <row r="41" spans="1:11" ht="15" customHeight="1" x14ac:dyDescent="0.25">
      <c r="A41" s="59">
        <v>20</v>
      </c>
      <c r="B41" s="60">
        <v>0</v>
      </c>
      <c r="G41" s="45"/>
      <c r="H41" s="46"/>
      <c r="I41" s="46"/>
      <c r="J41" s="46"/>
      <c r="K41" s="46"/>
    </row>
    <row r="42" spans="1:11" ht="15" customHeight="1" x14ac:dyDescent="0.25">
      <c r="A42" s="57">
        <v>21</v>
      </c>
      <c r="B42" s="61">
        <v>0</v>
      </c>
      <c r="G42" s="45"/>
      <c r="H42" s="46"/>
      <c r="I42" s="46"/>
      <c r="J42" s="46"/>
      <c r="K42" s="46"/>
    </row>
    <row r="43" spans="1:11" ht="15" customHeight="1" x14ac:dyDescent="0.25">
      <c r="A43" s="59">
        <v>22</v>
      </c>
      <c r="B43" s="60">
        <v>0</v>
      </c>
      <c r="G43" s="45"/>
      <c r="H43" s="46"/>
      <c r="I43" s="46"/>
      <c r="J43" s="46"/>
      <c r="K43" s="46"/>
    </row>
    <row r="44" spans="1:11" ht="15" customHeight="1" x14ac:dyDescent="0.25">
      <c r="A44" s="57">
        <v>23</v>
      </c>
      <c r="B44" s="61">
        <v>0</v>
      </c>
      <c r="G44" s="45"/>
      <c r="H44" s="46"/>
      <c r="I44" s="46"/>
      <c r="J44" s="46"/>
      <c r="K44" s="46"/>
    </row>
    <row r="45" spans="1:11" ht="15" customHeight="1" x14ac:dyDescent="0.25">
      <c r="A45" s="59">
        <v>24</v>
      </c>
      <c r="B45" s="60">
        <v>0</v>
      </c>
      <c r="G45" s="45"/>
      <c r="H45" s="46"/>
      <c r="I45" s="46"/>
      <c r="J45" s="46"/>
      <c r="K45" s="46"/>
    </row>
    <row r="46" spans="1:11" ht="15" customHeight="1" x14ac:dyDescent="0.25">
      <c r="A46" s="57">
        <v>25</v>
      </c>
      <c r="B46" s="61">
        <v>0</v>
      </c>
      <c r="G46" s="45"/>
      <c r="H46" s="46"/>
      <c r="I46" s="46"/>
      <c r="J46" s="46"/>
      <c r="K46" s="46"/>
    </row>
    <row r="47" spans="1:11" ht="15" customHeight="1" x14ac:dyDescent="0.25">
      <c r="G47" s="45"/>
      <c r="H47" s="46"/>
      <c r="I47" s="46"/>
      <c r="J47" s="46"/>
      <c r="K47" s="46"/>
    </row>
    <row r="48" spans="1:11" ht="21.75" customHeight="1" x14ac:dyDescent="0.25">
      <c r="A48" s="88" t="s">
        <v>31</v>
      </c>
      <c r="B48" s="88"/>
      <c r="C48" s="88"/>
      <c r="D48" s="88"/>
      <c r="E48" s="88"/>
      <c r="G48" s="45"/>
      <c r="H48" s="46"/>
      <c r="I48" s="46"/>
      <c r="J48" s="46"/>
      <c r="K48" s="46"/>
    </row>
    <row r="49" spans="1:11" ht="39.75" customHeight="1" x14ac:dyDescent="0.25">
      <c r="A49" s="87" t="s">
        <v>32</v>
      </c>
      <c r="B49" s="87"/>
      <c r="C49" s="87"/>
      <c r="D49" s="87"/>
      <c r="E49" s="87"/>
      <c r="G49" s="45"/>
      <c r="H49" s="46"/>
      <c r="I49" s="46"/>
      <c r="J49" s="46"/>
      <c r="K49" s="46"/>
    </row>
    <row r="50" spans="1:11" ht="15" customHeight="1" x14ac:dyDescent="0.25">
      <c r="A50" s="47" t="s">
        <v>33</v>
      </c>
      <c r="B50" s="48">
        <v>90</v>
      </c>
      <c r="C50" s="47" t="s">
        <v>7</v>
      </c>
      <c r="D50" s="47" t="s">
        <v>34</v>
      </c>
      <c r="G50" s="45"/>
      <c r="H50" s="46"/>
      <c r="I50" s="46"/>
      <c r="J50" s="46"/>
      <c r="K50" s="46"/>
    </row>
    <row r="51" spans="1:11" ht="15" customHeight="1" x14ac:dyDescent="0.25">
      <c r="G51" s="45"/>
      <c r="H51" s="46"/>
      <c r="I51" s="46"/>
      <c r="J51" s="46"/>
      <c r="K51" s="46"/>
    </row>
    <row r="52" spans="1:11" ht="30" customHeight="1" x14ac:dyDescent="0.25">
      <c r="A52" s="24" t="s">
        <v>35</v>
      </c>
      <c r="B52" s="24" t="s">
        <v>36</v>
      </c>
      <c r="C52" s="24" t="s">
        <v>37</v>
      </c>
      <c r="D52" s="24" t="s">
        <v>5</v>
      </c>
      <c r="E52" s="24"/>
      <c r="G52" s="45"/>
      <c r="H52" s="46"/>
      <c r="I52" s="46"/>
      <c r="J52" s="46"/>
      <c r="K52" s="46"/>
    </row>
    <row r="53" spans="1:11" ht="15" customHeight="1" x14ac:dyDescent="0.25">
      <c r="A53" s="62">
        <v>1</v>
      </c>
      <c r="B53" s="63">
        <v>3</v>
      </c>
      <c r="C53" s="64">
        <v>0.2</v>
      </c>
      <c r="D53" s="65" t="s">
        <v>38</v>
      </c>
      <c r="G53" s="45"/>
      <c r="H53" s="46"/>
      <c r="I53" s="46"/>
      <c r="J53" s="46"/>
      <c r="K53" s="46"/>
    </row>
    <row r="54" spans="1:11" ht="15" customHeight="1" x14ac:dyDescent="0.25">
      <c r="A54" s="66">
        <v>2</v>
      </c>
      <c r="B54" s="63">
        <v>6</v>
      </c>
      <c r="C54" s="64">
        <v>0.5</v>
      </c>
      <c r="D54" s="67" t="s">
        <v>39</v>
      </c>
      <c r="G54" s="45"/>
      <c r="H54" s="46"/>
      <c r="I54" s="46"/>
      <c r="J54" s="46"/>
      <c r="K54" s="46"/>
    </row>
    <row r="55" spans="1:11" ht="15" customHeight="1" x14ac:dyDescent="0.25">
      <c r="A55" s="62">
        <v>3</v>
      </c>
      <c r="B55" s="63">
        <v>10</v>
      </c>
      <c r="C55" s="64">
        <v>0.3</v>
      </c>
      <c r="D55" s="65" t="s">
        <v>40</v>
      </c>
      <c r="G55" s="45"/>
      <c r="H55" s="46"/>
      <c r="I55" s="46"/>
      <c r="J55" s="46"/>
      <c r="K55" s="46"/>
    </row>
    <row r="56" spans="1:11" ht="15" customHeight="1" x14ac:dyDescent="0.25">
      <c r="A56" s="66">
        <v>4</v>
      </c>
      <c r="B56" s="63"/>
      <c r="C56" s="64">
        <v>0</v>
      </c>
      <c r="D56" s="67" t="s">
        <v>41</v>
      </c>
      <c r="G56" s="45"/>
      <c r="H56" s="46"/>
      <c r="I56" s="46"/>
      <c r="J56" s="46"/>
      <c r="K56" s="46"/>
    </row>
    <row r="57" spans="1:11" ht="15" customHeight="1" x14ac:dyDescent="0.25">
      <c r="A57" s="62">
        <v>5</v>
      </c>
      <c r="B57" s="63"/>
      <c r="C57" s="64">
        <v>0</v>
      </c>
      <c r="D57" s="65" t="s">
        <v>41</v>
      </c>
      <c r="G57" s="45"/>
      <c r="H57" s="46"/>
      <c r="I57" s="46"/>
      <c r="J57" s="46"/>
      <c r="K57" s="46"/>
    </row>
    <row r="58" spans="1:11" ht="15" customHeight="1" x14ac:dyDescent="0.25">
      <c r="G58" s="45"/>
      <c r="H58" s="46"/>
      <c r="I58" s="46"/>
      <c r="J58" s="46"/>
      <c r="K58" s="46"/>
    </row>
    <row r="59" spans="1:11" ht="34.5" customHeight="1" x14ac:dyDescent="0.25">
      <c r="A59" s="47" t="s">
        <v>42</v>
      </c>
      <c r="B59" s="56" t="str">
        <f>IF(SUM(C53:C57)=0,"N/A - No VGF",IF(ABS(SUM(C53:C57)-1)&lt;0.001,"OK","CHECK - tranches do not sum to 100%"))</f>
        <v>OK</v>
      </c>
      <c r="C59" s="47"/>
      <c r="D59" s="47" t="s">
        <v>43</v>
      </c>
      <c r="G59" s="45"/>
      <c r="H59" s="46"/>
      <c r="I59" s="46"/>
      <c r="J59" s="46"/>
      <c r="K59" s="46"/>
    </row>
    <row r="60" spans="1:11" ht="15" customHeight="1" x14ac:dyDescent="0.25">
      <c r="G60" s="45"/>
      <c r="H60" s="46"/>
      <c r="I60" s="46"/>
      <c r="J60" s="46"/>
      <c r="K60" s="46"/>
    </row>
    <row r="61" spans="1:11" ht="15" customHeight="1" x14ac:dyDescent="0.25">
      <c r="G61" s="45"/>
      <c r="H61" s="46"/>
      <c r="I61" s="46"/>
      <c r="J61" s="46"/>
      <c r="K61" s="46"/>
    </row>
    <row r="62" spans="1:11" ht="19.5" customHeight="1" x14ac:dyDescent="0.25">
      <c r="A62" s="89" t="s">
        <v>44</v>
      </c>
      <c r="B62" s="89"/>
      <c r="C62" s="89"/>
      <c r="D62" s="89"/>
      <c r="E62" s="89"/>
      <c r="G62" s="45"/>
      <c r="H62" s="46"/>
      <c r="I62" s="46"/>
      <c r="J62" s="46"/>
      <c r="K62" s="46"/>
    </row>
    <row r="63" spans="1:11" ht="55.5" customHeight="1" x14ac:dyDescent="0.25">
      <c r="A63" s="87" t="s">
        <v>45</v>
      </c>
      <c r="B63" s="87"/>
      <c r="C63" s="87"/>
      <c r="D63" s="87"/>
      <c r="E63" s="87"/>
      <c r="G63" s="45"/>
      <c r="H63" s="46"/>
      <c r="I63" s="46"/>
      <c r="J63" s="46"/>
      <c r="K63" s="46"/>
    </row>
    <row r="64" spans="1:11" ht="23.25" customHeight="1" x14ac:dyDescent="0.25">
      <c r="A64" s="47" t="s">
        <v>46</v>
      </c>
      <c r="B64" s="51">
        <v>12</v>
      </c>
      <c r="C64" s="47" t="s">
        <v>13</v>
      </c>
      <c r="D64" s="47" t="s">
        <v>47</v>
      </c>
      <c r="G64" s="45"/>
      <c r="H64" s="46"/>
      <c r="I64" s="46"/>
      <c r="J64" s="46"/>
      <c r="K64" s="46"/>
    </row>
    <row r="65" spans="1:11" ht="21.75" customHeight="1" x14ac:dyDescent="0.25">
      <c r="A65" s="24" t="s">
        <v>48</v>
      </c>
      <c r="B65" s="24" t="s">
        <v>49</v>
      </c>
      <c r="C65" s="24" t="s">
        <v>50</v>
      </c>
      <c r="D65" s="24" t="s">
        <v>5</v>
      </c>
      <c r="G65" s="45"/>
      <c r="H65" s="46"/>
      <c r="I65" s="46"/>
      <c r="J65" s="46"/>
      <c r="K65" s="46"/>
    </row>
    <row r="66" spans="1:11" ht="15" customHeight="1" x14ac:dyDescent="0.25">
      <c r="A66" s="57">
        <v>1</v>
      </c>
      <c r="B66" s="57">
        <f>1+(1-1)*$B$64</f>
        <v>1</v>
      </c>
      <c r="C66" s="68">
        <v>8.6499999999999994E-2</v>
      </c>
      <c r="D66" s="57" t="s">
        <v>51</v>
      </c>
      <c r="G66" s="45"/>
      <c r="H66" s="46"/>
      <c r="I66" s="46"/>
      <c r="J66" s="46"/>
      <c r="K66" s="46"/>
    </row>
    <row r="67" spans="1:11" ht="15" customHeight="1" x14ac:dyDescent="0.25">
      <c r="A67" s="59">
        <v>2</v>
      </c>
      <c r="B67" s="59">
        <f>1+(2-1)*$B$64</f>
        <v>13</v>
      </c>
      <c r="C67" s="69">
        <v>8.6499999999999994E-2</v>
      </c>
      <c r="D67" s="59" t="s">
        <v>52</v>
      </c>
      <c r="G67" s="45"/>
      <c r="H67" s="46"/>
      <c r="I67" s="46"/>
      <c r="J67" s="46"/>
      <c r="K67" s="46"/>
    </row>
    <row r="68" spans="1:11" ht="15" customHeight="1" x14ac:dyDescent="0.25">
      <c r="A68" s="57">
        <v>3</v>
      </c>
      <c r="B68" s="57">
        <f>1+(3-1)*$B$64</f>
        <v>25</v>
      </c>
      <c r="C68" s="69">
        <v>8.6499999999999994E-2</v>
      </c>
      <c r="D68" s="57" t="s">
        <v>53</v>
      </c>
      <c r="G68" s="45"/>
      <c r="H68" s="46"/>
      <c r="I68" s="46"/>
      <c r="J68" s="46"/>
      <c r="K68" s="46"/>
    </row>
    <row r="69" spans="1:11" ht="15" customHeight="1" x14ac:dyDescent="0.25">
      <c r="A69" s="59">
        <v>4</v>
      </c>
      <c r="B69" s="59">
        <f>1+(4-1)*$B$64</f>
        <v>37</v>
      </c>
      <c r="C69" s="69">
        <v>8.6499999999999994E-2</v>
      </c>
      <c r="D69" s="59" t="s">
        <v>54</v>
      </c>
      <c r="G69" s="45"/>
      <c r="H69" s="46"/>
      <c r="I69" s="46"/>
      <c r="J69" s="46"/>
      <c r="K69" s="46"/>
    </row>
    <row r="70" spans="1:11" ht="15" customHeight="1" x14ac:dyDescent="0.25">
      <c r="A70" s="57">
        <v>5</v>
      </c>
      <c r="B70" s="57">
        <f>1+(5-1)*$B$64</f>
        <v>49</v>
      </c>
      <c r="C70" s="69">
        <v>8.6499999999999994E-2</v>
      </c>
      <c r="D70" s="57" t="s">
        <v>55</v>
      </c>
      <c r="G70" s="45"/>
      <c r="H70" s="46"/>
      <c r="I70" s="46"/>
      <c r="J70" s="46"/>
      <c r="K70" s="46"/>
    </row>
    <row r="71" spans="1:11" ht="15" customHeight="1" x14ac:dyDescent="0.25">
      <c r="A71" s="59">
        <v>6</v>
      </c>
      <c r="B71" s="59">
        <f>1+(6-1)*$B$64</f>
        <v>61</v>
      </c>
      <c r="C71" s="69">
        <v>8.6499999999999994E-2</v>
      </c>
      <c r="D71" s="59" t="s">
        <v>56</v>
      </c>
      <c r="G71" s="45"/>
      <c r="H71" s="46"/>
      <c r="I71" s="46"/>
      <c r="J71" s="46"/>
      <c r="K71" s="46"/>
    </row>
    <row r="72" spans="1:11" ht="15" customHeight="1" x14ac:dyDescent="0.25">
      <c r="A72" s="57">
        <v>7</v>
      </c>
      <c r="B72" s="57">
        <f>1+(7-1)*$B$64</f>
        <v>73</v>
      </c>
      <c r="C72" s="69">
        <v>8.6499999999999994E-2</v>
      </c>
      <c r="D72" s="57" t="s">
        <v>57</v>
      </c>
      <c r="G72" s="45"/>
      <c r="H72" s="46"/>
      <c r="I72" s="46"/>
      <c r="J72" s="46"/>
      <c r="K72" s="46"/>
    </row>
    <row r="73" spans="1:11" ht="15" customHeight="1" x14ac:dyDescent="0.25">
      <c r="A73" s="59">
        <v>8</v>
      </c>
      <c r="B73" s="59">
        <f>1+(8-1)*$B$64</f>
        <v>85</v>
      </c>
      <c r="C73" s="69">
        <v>8.6499999999999994E-2</v>
      </c>
      <c r="D73" s="59" t="s">
        <v>58</v>
      </c>
      <c r="G73" s="45"/>
      <c r="H73" s="46"/>
      <c r="I73" s="46"/>
      <c r="J73" s="46"/>
      <c r="K73" s="46"/>
    </row>
    <row r="74" spans="1:11" ht="15" customHeight="1" x14ac:dyDescent="0.25">
      <c r="A74" s="57">
        <v>9</v>
      </c>
      <c r="B74" s="57">
        <f>1+(9-1)*$B$64</f>
        <v>97</v>
      </c>
      <c r="C74" s="69">
        <v>8.6499999999999994E-2</v>
      </c>
      <c r="D74" s="57" t="s">
        <v>59</v>
      </c>
      <c r="G74" s="45"/>
      <c r="H74" s="46"/>
      <c r="I74" s="46"/>
      <c r="J74" s="46"/>
      <c r="K74" s="46"/>
    </row>
    <row r="75" spans="1:11" ht="15" customHeight="1" x14ac:dyDescent="0.25">
      <c r="A75" s="59">
        <v>10</v>
      </c>
      <c r="B75" s="59">
        <f>1+(10-1)*$B$64</f>
        <v>109</v>
      </c>
      <c r="C75" s="69">
        <v>8.6499999999999994E-2</v>
      </c>
      <c r="D75" s="59" t="s">
        <v>60</v>
      </c>
      <c r="G75" s="45"/>
      <c r="H75" s="46"/>
      <c r="I75" s="46"/>
      <c r="J75" s="46"/>
      <c r="K75" s="46"/>
    </row>
    <row r="76" spans="1:11" ht="15" customHeight="1" x14ac:dyDescent="0.25">
      <c r="G76" s="45"/>
      <c r="H76" s="46"/>
      <c r="I76" s="46"/>
      <c r="J76" s="46"/>
      <c r="K76" s="46"/>
    </row>
    <row r="77" spans="1:11" ht="15" customHeight="1" x14ac:dyDescent="0.25">
      <c r="A77" s="85" t="s">
        <v>61</v>
      </c>
      <c r="B77" s="85"/>
      <c r="C77" s="85"/>
      <c r="D77" s="85"/>
      <c r="E77" s="85"/>
      <c r="G77" s="45"/>
      <c r="H77" s="46"/>
      <c r="I77" s="46"/>
      <c r="J77" s="46"/>
      <c r="K77" s="46"/>
    </row>
    <row r="78" spans="1:11" ht="36.75" customHeight="1" x14ac:dyDescent="0.25">
      <c r="A78" s="86" t="s">
        <v>62</v>
      </c>
      <c r="B78" s="86"/>
      <c r="C78" s="86"/>
      <c r="D78" s="86"/>
      <c r="E78" s="86"/>
      <c r="G78" s="45"/>
      <c r="H78" s="46"/>
      <c r="I78" s="46"/>
      <c r="J78" s="46"/>
      <c r="K78" s="46"/>
    </row>
    <row r="79" spans="1:11" ht="15" customHeight="1" x14ac:dyDescent="0.25">
      <c r="A79" s="39" t="s">
        <v>2</v>
      </c>
      <c r="B79" s="39" t="s">
        <v>3</v>
      </c>
      <c r="C79" s="39" t="s">
        <v>4</v>
      </c>
      <c r="D79" s="39" t="s">
        <v>5</v>
      </c>
      <c r="G79" s="45"/>
      <c r="H79" s="46"/>
      <c r="I79" s="46"/>
      <c r="J79" s="46"/>
      <c r="K79" s="46"/>
    </row>
    <row r="80" spans="1:11" ht="79.5" customHeight="1" x14ac:dyDescent="0.25">
      <c r="A80" s="70" t="s">
        <v>63</v>
      </c>
      <c r="B80" s="71">
        <f>Sculpting_Schedule!P107</f>
        <v>300.33641055949425</v>
      </c>
      <c r="C80" s="70" t="s">
        <v>7</v>
      </c>
      <c r="D80" s="70" t="s">
        <v>64</v>
      </c>
      <c r="G80" s="45"/>
      <c r="H80" s="46"/>
      <c r="I80" s="46"/>
      <c r="J80" s="46"/>
      <c r="K80" s="46"/>
    </row>
    <row r="81" spans="1:11" ht="45.75" customHeight="1" x14ac:dyDescent="0.25">
      <c r="A81" s="72" t="s">
        <v>65</v>
      </c>
      <c r="B81" s="73">
        <f>Sculpting_Schedule!Q107</f>
        <v>81.680792440335537</v>
      </c>
      <c r="C81" s="72" t="s">
        <v>7</v>
      </c>
      <c r="D81" s="72" t="s">
        <v>66</v>
      </c>
      <c r="G81" s="45"/>
      <c r="H81" s="46"/>
      <c r="I81" s="46"/>
      <c r="J81" s="46"/>
      <c r="K81" s="46"/>
    </row>
    <row r="82" spans="1:11" ht="68.25" customHeight="1" x14ac:dyDescent="0.25">
      <c r="A82" s="74" t="s">
        <v>67</v>
      </c>
      <c r="B82" s="71">
        <f>B80+B81</f>
        <v>382.01720299982981</v>
      </c>
      <c r="C82" s="70" t="s">
        <v>7</v>
      </c>
      <c r="D82" s="70" t="s">
        <v>68</v>
      </c>
      <c r="G82" s="45"/>
      <c r="H82" s="46"/>
      <c r="I82" s="46"/>
      <c r="J82" s="46"/>
      <c r="K82" s="46"/>
    </row>
    <row r="83" spans="1:11" ht="34.5" customHeight="1" x14ac:dyDescent="0.25">
      <c r="A83" s="72" t="s">
        <v>69</v>
      </c>
      <c r="B83" s="73">
        <f>B10</f>
        <v>371.76</v>
      </c>
      <c r="C83" s="72" t="s">
        <v>7</v>
      </c>
      <c r="D83" s="72" t="s">
        <v>70</v>
      </c>
      <c r="E83" s="2" t="str">
        <f>IF(B82&gt;B83,"OK - Within Capacity","CHECK - Exceeds Max Debt Capacity")</f>
        <v>OK - Within Capacity</v>
      </c>
      <c r="G83" s="45"/>
      <c r="H83" s="46"/>
      <c r="I83" s="46"/>
      <c r="J83" s="46"/>
      <c r="K83" s="46"/>
    </row>
    <row r="84" spans="1:11" ht="68.25" customHeight="1" x14ac:dyDescent="0.25">
      <c r="A84" s="74" t="s">
        <v>71</v>
      </c>
      <c r="B84" s="75">
        <f>B82-B83</f>
        <v>10.257202999829815</v>
      </c>
      <c r="C84" s="70" t="s">
        <v>7</v>
      </c>
      <c r="D84" s="70" t="s">
        <v>72</v>
      </c>
      <c r="G84" s="45"/>
      <c r="H84" s="46"/>
      <c r="I84" s="46"/>
      <c r="J84" s="46"/>
      <c r="K84" s="46"/>
    </row>
    <row r="85" spans="1:11" ht="15" customHeight="1" x14ac:dyDescent="0.25">
      <c r="G85" s="45"/>
      <c r="H85" s="46"/>
      <c r="I85" s="46"/>
      <c r="J85" s="46"/>
      <c r="K85" s="46"/>
    </row>
    <row r="86" spans="1:11" ht="15" customHeight="1" x14ac:dyDescent="0.25">
      <c r="A86" s="85" t="s">
        <v>73</v>
      </c>
      <c r="B86" s="85"/>
      <c r="C86" s="85"/>
      <c r="D86" s="85"/>
      <c r="G86" s="45"/>
      <c r="H86" s="46"/>
      <c r="I86" s="46"/>
      <c r="J86" s="46"/>
      <c r="K86" s="46"/>
    </row>
    <row r="87" spans="1:11" ht="39" customHeight="1" x14ac:dyDescent="0.25">
      <c r="A87" s="86" t="s">
        <v>74</v>
      </c>
      <c r="B87" s="86"/>
      <c r="C87" s="86"/>
      <c r="D87" s="86"/>
      <c r="G87" s="45"/>
      <c r="H87" s="46"/>
      <c r="I87" s="46"/>
      <c r="J87" s="46"/>
      <c r="K87" s="46"/>
    </row>
    <row r="88" spans="1:11" ht="15" customHeight="1" x14ac:dyDescent="0.25">
      <c r="A88" s="70" t="s">
        <v>75</v>
      </c>
      <c r="B88" s="76">
        <v>700</v>
      </c>
      <c r="C88" s="70" t="s">
        <v>7</v>
      </c>
      <c r="D88" s="70" t="s">
        <v>76</v>
      </c>
      <c r="G88" s="45"/>
      <c r="H88" s="46"/>
      <c r="I88" s="46"/>
      <c r="J88" s="46"/>
      <c r="K88" s="46"/>
    </row>
    <row r="89" spans="1:11" ht="15" customHeight="1" x14ac:dyDescent="0.25">
      <c r="A89" s="39" t="s">
        <v>77</v>
      </c>
      <c r="B89" s="39" t="s">
        <v>78</v>
      </c>
      <c r="C89" s="39" t="s">
        <v>79</v>
      </c>
      <c r="D89" s="39" t="s">
        <v>5</v>
      </c>
      <c r="G89" s="45"/>
      <c r="H89" s="46"/>
      <c r="I89" s="46"/>
      <c r="J89" s="46"/>
      <c r="K89" s="46"/>
    </row>
    <row r="90" spans="1:11" ht="15" customHeight="1" x14ac:dyDescent="0.25">
      <c r="A90" s="77">
        <v>1.5</v>
      </c>
      <c r="B90" s="71">
        <f>SUMPRODUCT((Sculpting_Schedule!$A$7:$A$106&gt;$B$12)*(Sculpting_Schedule!$A$7:$A$106&lt;=$B$14)*Sculpting_Schedule!$F$7:$F$106*Sculpting_Schedule!$O$7:$O$106)/A90+Sculpting_Schedule!$Q$107</f>
        <v>382.01720299982992</v>
      </c>
      <c r="C90" s="78">
        <f>B90/$B$88</f>
        <v>0.5457388614283285</v>
      </c>
      <c r="D90" s="70" t="s">
        <v>80</v>
      </c>
      <c r="G90" s="45"/>
      <c r="H90" s="46"/>
      <c r="I90" s="46"/>
      <c r="J90" s="46"/>
      <c r="K90" s="46"/>
    </row>
    <row r="91" spans="1:11" ht="15" customHeight="1" x14ac:dyDescent="0.25">
      <c r="A91" s="79">
        <v>1.3</v>
      </c>
      <c r="B91" s="73">
        <f>SUMPRODUCT((Sculpting_Schedule!$A$7:$A$106&gt;$B$12)*(Sculpting_Schedule!$A$7:$A$106&lt;=$B$14)*Sculpting_Schedule!$F$7:$F$106*Sculpting_Schedule!$O$7:$O$106)/A91+Sculpting_Schedule!$Q$107</f>
        <v>428.22280462436754</v>
      </c>
      <c r="C91" s="80">
        <f>B91/$B$88</f>
        <v>0.61174686374909648</v>
      </c>
      <c r="D91" s="72" t="s">
        <v>81</v>
      </c>
      <c r="G91" s="45"/>
      <c r="H91" s="46"/>
      <c r="I91" s="46"/>
      <c r="J91" s="46"/>
      <c r="K91" s="46"/>
    </row>
    <row r="92" spans="1:11" ht="15" customHeight="1" x14ac:dyDescent="0.25">
      <c r="A92" s="77">
        <v>1.2</v>
      </c>
      <c r="B92" s="71">
        <f>SUMPRODUCT((Sculpting_Schedule!$A$7:$A$106&gt;$B$12)*(Sculpting_Schedule!$A$7:$A$106&lt;=$B$14)*Sculpting_Schedule!$F$7:$F$106*Sculpting_Schedule!$O$7:$O$106)/A92+Sculpting_Schedule!$Q$107</f>
        <v>457.10130563970353</v>
      </c>
      <c r="C92" s="78">
        <f>B92/$B$88</f>
        <v>0.65300186519957648</v>
      </c>
      <c r="D92" s="70" t="s">
        <v>82</v>
      </c>
      <c r="G92" s="45"/>
      <c r="H92" s="46"/>
      <c r="I92" s="46"/>
      <c r="J92" s="46"/>
      <c r="K92" s="46"/>
    </row>
    <row r="93" spans="1:11" ht="15" customHeight="1" x14ac:dyDescent="0.25">
      <c r="G93" s="45"/>
      <c r="H93" s="46"/>
      <c r="I93" s="46"/>
      <c r="J93" s="46"/>
      <c r="K93" s="46"/>
    </row>
    <row r="94" spans="1:11" ht="15" customHeight="1" x14ac:dyDescent="0.25">
      <c r="G94" s="45"/>
      <c r="H94" s="46"/>
      <c r="I94" s="46"/>
      <c r="J94" s="46"/>
      <c r="K94" s="46"/>
    </row>
    <row r="95" spans="1:11" ht="15" customHeight="1" x14ac:dyDescent="0.25">
      <c r="G95" s="45"/>
      <c r="H95" s="46"/>
      <c r="I95" s="46"/>
      <c r="J95" s="46"/>
      <c r="K95" s="46"/>
    </row>
    <row r="96" spans="1:11" ht="15" customHeight="1" x14ac:dyDescent="0.25">
      <c r="G96" s="45"/>
      <c r="H96" s="46"/>
      <c r="I96" s="46"/>
      <c r="J96" s="46"/>
      <c r="K96" s="46"/>
    </row>
    <row r="97" spans="7:11" ht="15" customHeight="1" x14ac:dyDescent="0.25">
      <c r="G97" s="45"/>
      <c r="H97" s="46"/>
      <c r="I97" s="46"/>
      <c r="J97" s="46"/>
      <c r="K97" s="46"/>
    </row>
    <row r="98" spans="7:11" ht="15" customHeight="1" x14ac:dyDescent="0.25">
      <c r="G98" s="45"/>
      <c r="H98" s="46"/>
      <c r="I98" s="46"/>
      <c r="J98" s="46"/>
      <c r="K98" s="46"/>
    </row>
    <row r="99" spans="7:11" ht="15" customHeight="1" x14ac:dyDescent="0.25">
      <c r="G99" s="45"/>
      <c r="H99" s="46"/>
      <c r="I99" s="46"/>
      <c r="J99" s="46"/>
      <c r="K99" s="46"/>
    </row>
    <row r="100" spans="7:11" ht="15" customHeight="1" x14ac:dyDescent="0.25">
      <c r="G100" s="45"/>
      <c r="H100" s="46"/>
      <c r="I100" s="46"/>
      <c r="J100" s="46"/>
      <c r="K100" s="46"/>
    </row>
    <row r="101" spans="7:11" ht="15" customHeight="1" x14ac:dyDescent="0.25">
      <c r="G101" s="45"/>
      <c r="H101" s="46"/>
      <c r="I101" s="46"/>
      <c r="J101" s="46"/>
      <c r="K101" s="46"/>
    </row>
    <row r="102" spans="7:11" ht="15" customHeight="1" x14ac:dyDescent="0.25">
      <c r="G102" s="45"/>
      <c r="H102" s="46"/>
      <c r="I102" s="46"/>
      <c r="J102" s="46"/>
      <c r="K102" s="46"/>
    </row>
    <row r="103" spans="7:11" ht="15" customHeight="1" x14ac:dyDescent="0.25">
      <c r="G103" s="45"/>
      <c r="H103" s="46"/>
      <c r="I103" s="46"/>
      <c r="J103" s="46"/>
      <c r="K103" s="46"/>
    </row>
    <row r="104" spans="7:11" ht="15" customHeight="1" x14ac:dyDescent="0.25">
      <c r="G104" s="45"/>
      <c r="H104" s="46"/>
      <c r="I104" s="46"/>
      <c r="J104" s="46"/>
      <c r="K104" s="46"/>
    </row>
    <row r="105" spans="7:11" ht="15" customHeight="1" x14ac:dyDescent="0.25">
      <c r="G105" s="45"/>
      <c r="H105" s="46"/>
      <c r="I105" s="46"/>
      <c r="J105" s="46"/>
      <c r="K105" s="46"/>
    </row>
    <row r="106" spans="7:11" ht="15" customHeight="1" x14ac:dyDescent="0.25">
      <c r="G106" s="45"/>
      <c r="H106" s="46"/>
      <c r="I106" s="46"/>
      <c r="J106" s="46"/>
      <c r="K106" s="46"/>
    </row>
    <row r="107" spans="7:11" ht="15" customHeight="1" x14ac:dyDescent="0.25">
      <c r="G107" s="45"/>
      <c r="H107" s="46"/>
      <c r="I107" s="46"/>
      <c r="J107" s="46"/>
      <c r="K107" s="46"/>
    </row>
    <row r="108" spans="7:11" ht="15" customHeight="1" x14ac:dyDescent="0.25">
      <c r="G108" s="45"/>
      <c r="H108" s="46"/>
      <c r="I108" s="46"/>
      <c r="J108" s="46"/>
      <c r="K108" s="46"/>
    </row>
  </sheetData>
  <mergeCells count="15">
    <mergeCell ref="A1:E1"/>
    <mergeCell ref="A77:E77"/>
    <mergeCell ref="A78:E78"/>
    <mergeCell ref="A86:D86"/>
    <mergeCell ref="A87:D87"/>
    <mergeCell ref="A20:E20"/>
    <mergeCell ref="A48:E48"/>
    <mergeCell ref="A49:E49"/>
    <mergeCell ref="A62:E62"/>
    <mergeCell ref="A63:E63"/>
    <mergeCell ref="A2:E2"/>
    <mergeCell ref="A3:E3"/>
    <mergeCell ref="A4:E4"/>
    <mergeCell ref="A7:E7"/>
    <mergeCell ref="A19:E19"/>
  </mergeCells>
  <pageMargins left="0.75" right="0.75" top="1" bottom="1" header="0.511811023622047" footer="0.511811023622047"/>
  <pageSetup paperSize="9"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09"/>
  <sheetViews>
    <sheetView showGridLines="0" zoomScaleNormal="100" workbookViewId="0">
      <pane ySplit="6" topLeftCell="A7" activePane="bottomLeft" state="frozen"/>
      <selection pane="bottomLeft" sqref="A1:XFD1048576"/>
    </sheetView>
  </sheetViews>
  <sheetFormatPr defaultColWidth="8.5703125" defaultRowHeight="15" x14ac:dyDescent="0.25"/>
  <cols>
    <col min="1" max="2" width="8" style="2" customWidth="1"/>
    <col min="3" max="3" width="10" style="2" customWidth="1"/>
    <col min="4" max="4" width="11" style="2" customWidth="1"/>
    <col min="5" max="5" width="12" style="2" customWidth="1"/>
    <col min="6" max="6" width="10" style="2" customWidth="1"/>
    <col min="7" max="7" width="9" style="2" customWidth="1"/>
    <col min="8" max="8" width="10" style="2" customWidth="1"/>
    <col min="9" max="9" width="9" style="2" customWidth="1"/>
    <col min="10" max="12" width="10" style="2" customWidth="1"/>
    <col min="13" max="13" width="8" style="2" customWidth="1"/>
    <col min="14" max="14" width="9" style="2" customWidth="1"/>
    <col min="15" max="17" width="16" style="2" customWidth="1"/>
    <col min="18" max="16384" width="8.5703125" style="2"/>
  </cols>
  <sheetData>
    <row r="1" spans="1:17" ht="20.25" x14ac:dyDescent="0.3">
      <c r="A1" s="1" t="str">
        <f>Assumptions!A1</f>
        <v>camsroy.com</v>
      </c>
      <c r="B1" s="38"/>
      <c r="C1" s="38"/>
      <c r="D1" s="38"/>
      <c r="E1" s="38"/>
      <c r="F1" s="38"/>
      <c r="G1" s="38"/>
      <c r="H1" s="38"/>
      <c r="I1" s="38"/>
      <c r="J1" s="38"/>
      <c r="K1" s="38"/>
      <c r="L1" s="38"/>
      <c r="M1" s="38"/>
      <c r="N1" s="38"/>
      <c r="O1" s="38"/>
    </row>
    <row r="2" spans="1:17" ht="30" customHeight="1" x14ac:dyDescent="0.25">
      <c r="A2" s="94" t="s">
        <v>83</v>
      </c>
      <c r="B2" s="94"/>
      <c r="C2" s="94"/>
      <c r="D2" s="94"/>
      <c r="E2" s="94"/>
      <c r="F2" s="94"/>
      <c r="G2" s="94"/>
      <c r="H2" s="94"/>
      <c r="I2" s="94"/>
      <c r="J2" s="94"/>
      <c r="K2" s="94"/>
      <c r="L2" s="94"/>
      <c r="M2" s="94"/>
      <c r="N2" s="94"/>
      <c r="O2" s="94"/>
    </row>
    <row r="3" spans="1:17" ht="21.75" customHeight="1" x14ac:dyDescent="0.25">
      <c r="A3" s="95" t="s">
        <v>84</v>
      </c>
      <c r="B3" s="95"/>
      <c r="C3" s="95"/>
      <c r="D3" s="95"/>
      <c r="E3" s="95"/>
      <c r="F3" s="95"/>
      <c r="G3" s="95"/>
      <c r="H3" s="95"/>
      <c r="I3" s="95"/>
      <c r="J3" s="95"/>
      <c r="K3" s="95"/>
      <c r="L3" s="95"/>
      <c r="M3" s="95"/>
      <c r="N3" s="95"/>
      <c r="O3" s="95"/>
    </row>
    <row r="4" spans="1:17" ht="6" customHeight="1" x14ac:dyDescent="0.25">
      <c r="A4" s="92"/>
      <c r="B4" s="92"/>
      <c r="C4" s="92"/>
      <c r="D4" s="92"/>
      <c r="E4" s="92"/>
      <c r="F4" s="92"/>
      <c r="G4" s="92"/>
      <c r="H4" s="92"/>
      <c r="I4" s="92"/>
      <c r="J4" s="92"/>
      <c r="K4" s="92"/>
      <c r="L4" s="92"/>
      <c r="M4" s="92"/>
      <c r="N4" s="92"/>
      <c r="O4" s="92"/>
    </row>
    <row r="6" spans="1:17" ht="42" customHeight="1" x14ac:dyDescent="0.25">
      <c r="A6" s="6" t="s">
        <v>85</v>
      </c>
      <c r="B6" s="6" t="s">
        <v>86</v>
      </c>
      <c r="C6" s="6" t="s">
        <v>87</v>
      </c>
      <c r="D6" s="6" t="s">
        <v>88</v>
      </c>
      <c r="E6" s="6" t="s">
        <v>89</v>
      </c>
      <c r="F6" s="6" t="s">
        <v>90</v>
      </c>
      <c r="G6" s="6" t="s">
        <v>91</v>
      </c>
      <c r="H6" s="6" t="s">
        <v>92</v>
      </c>
      <c r="I6" s="6" t="s">
        <v>93</v>
      </c>
      <c r="J6" s="6" t="s">
        <v>94</v>
      </c>
      <c r="K6" s="6" t="s">
        <v>95</v>
      </c>
      <c r="L6" s="6" t="s">
        <v>96</v>
      </c>
      <c r="M6" s="6" t="s">
        <v>97</v>
      </c>
      <c r="N6" s="6" t="s">
        <v>98</v>
      </c>
      <c r="O6" s="39" t="s">
        <v>99</v>
      </c>
      <c r="P6" s="39" t="s">
        <v>100</v>
      </c>
      <c r="Q6" s="39" t="s">
        <v>101</v>
      </c>
    </row>
    <row r="7" spans="1:17" ht="15" customHeight="1" x14ac:dyDescent="0.25">
      <c r="A7" s="7">
        <v>1</v>
      </c>
      <c r="B7" s="7">
        <f t="shared" ref="B7:B38" si="0">ROUNDUP(A7/4,0)</f>
        <v>1</v>
      </c>
      <c r="C7" s="7" t="str">
        <f>IF(A7&gt;Assumptions!$B$14,"Closed",IF(A7&lt;=Assumptions!$B$12,"Moratorium","Repayment"))</f>
        <v>Moratorium</v>
      </c>
      <c r="D7" s="8">
        <f>Assumptions!$B$10</f>
        <v>371.76</v>
      </c>
      <c r="E7" s="8">
        <f>IF(B7&gt;25,0,INDEX(Assumptions!$B$22:$B$46,B7))</f>
        <v>60</v>
      </c>
      <c r="F7" s="8">
        <f t="shared" ref="F7:F38" si="1">E7/4</f>
        <v>15</v>
      </c>
      <c r="G7" s="8">
        <f>D7*Assumptions!$B$16</f>
        <v>8.0393099999999986</v>
      </c>
      <c r="H7" s="8">
        <f>F7/Assumptions!$B$11</f>
        <v>10</v>
      </c>
      <c r="I7" s="8">
        <f>IF(OR(A7&lt;=Assumptions!$B$12,A7&gt;Assumptions!$B$14),0,MAX(0,MIN(D7,H7-G7)))</f>
        <v>0</v>
      </c>
      <c r="J7" s="8">
        <f>IF(A7&gt;Assumptions!$B$14,0,MIN(SUMPRODUCT((Assumptions!$B$53:$B$57=A7)*Assumptions!$C$53:$C$57)*Assumptions!$B$50,D7-I7))</f>
        <v>0</v>
      </c>
      <c r="K7" s="8">
        <f t="shared" ref="K7:K38" si="2">I7+J7</f>
        <v>0</v>
      </c>
      <c r="L7" s="8">
        <f t="shared" ref="L7:L38" si="3">D7-K7</f>
        <v>371.76</v>
      </c>
      <c r="M7" s="9">
        <f>IF(OR(A7&gt;Assumptions!$B$14,(G7+I7)=0),"",F7/(G7+I7))</f>
        <v>1.8658317691443671</v>
      </c>
      <c r="N7" s="7" t="str">
        <f>IF(A7&gt;Assumptions!$B$14,"Closed",IF(A7&lt;=Assumptions!$B$12,"Moratorium",IF(D7=0,"Closed (Repaid Early)",IF(M7&lt;Assumptions!$B$11-0.005,"BREACH","PASS"))))</f>
        <v>Moratorium</v>
      </c>
      <c r="O7" s="40">
        <f>1/(1+Assumptions!$B$16)^(A7-Assumptions!$B$12)</f>
        <v>1.021625</v>
      </c>
      <c r="P7" s="41">
        <f>IF(AND(A7&gt;Assumptions!$B$12,A7&lt;=Assumptions!$B$14),H7*O7,0)</f>
        <v>0</v>
      </c>
      <c r="Q7" s="41">
        <f t="shared" ref="Q7:Q38" si="4">J7*O7</f>
        <v>0</v>
      </c>
    </row>
    <row r="8" spans="1:17" ht="15" customHeight="1" x14ac:dyDescent="0.25">
      <c r="A8" s="7">
        <v>2</v>
      </c>
      <c r="B8" s="7">
        <f t="shared" si="0"/>
        <v>1</v>
      </c>
      <c r="C8" s="7" t="str">
        <f>IF(A8&gt;Assumptions!$B$14,"Closed",IF(A8&lt;=Assumptions!$B$12,"Moratorium","Repayment"))</f>
        <v>Moratorium</v>
      </c>
      <c r="D8" s="8">
        <f t="shared" ref="D8:D39" si="5">L7</f>
        <v>371.76</v>
      </c>
      <c r="E8" s="8">
        <f>IF(B8&gt;25,0,INDEX(Assumptions!$B$22:$B$46,B8))</f>
        <v>60</v>
      </c>
      <c r="F8" s="8">
        <f t="shared" si="1"/>
        <v>15</v>
      </c>
      <c r="G8" s="8">
        <f>D8*Assumptions!$B$16</f>
        <v>8.0393099999999986</v>
      </c>
      <c r="H8" s="8">
        <f>F8/Assumptions!$B$11</f>
        <v>10</v>
      </c>
      <c r="I8" s="8">
        <f>IF(OR(A8&lt;=Assumptions!$B$12,A8&gt;Assumptions!$B$14),0,MAX(0,MIN(D8,H8-G8)))</f>
        <v>0</v>
      </c>
      <c r="J8" s="8">
        <f>IF(A8&gt;Assumptions!$B$14,0,MIN(SUMPRODUCT((Assumptions!$B$53:$B$57=A8)*Assumptions!$C$53:$C$57)*Assumptions!$B$50,D8-I8))</f>
        <v>0</v>
      </c>
      <c r="K8" s="8">
        <f t="shared" si="2"/>
        <v>0</v>
      </c>
      <c r="L8" s="8">
        <f t="shared" si="3"/>
        <v>371.76</v>
      </c>
      <c r="M8" s="9">
        <f>IF(OR(A8&gt;Assumptions!$B$14,(G8+I8)=0),"",F8/(G8+I8))</f>
        <v>1.8658317691443671</v>
      </c>
      <c r="N8" s="7" t="str">
        <f>IF(A8&gt;Assumptions!$B$14,"Closed",IF(A8&lt;=Assumptions!$B$12,"Moratorium",IF(D8=0,"Closed (Repaid Early)",IF(M8&lt;Assumptions!$B$11-0.005,"BREACH","PASS"))))</f>
        <v>Moratorium</v>
      </c>
      <c r="O8" s="40">
        <f>1/(1+Assumptions!$B$16)^(A8-Assumptions!$B$12)</f>
        <v>1</v>
      </c>
      <c r="P8" s="41">
        <f>IF(AND(A8&gt;Assumptions!$B$12,A8&lt;=Assumptions!$B$14),H8*O8,0)</f>
        <v>0</v>
      </c>
      <c r="Q8" s="41">
        <f t="shared" si="4"/>
        <v>0</v>
      </c>
    </row>
    <row r="9" spans="1:17" ht="15" customHeight="1" x14ac:dyDescent="0.25">
      <c r="A9" s="10">
        <v>3</v>
      </c>
      <c r="B9" s="10">
        <f t="shared" si="0"/>
        <v>1</v>
      </c>
      <c r="C9" s="10" t="str">
        <f>IF(A9&gt;Assumptions!$B$14,"Closed",IF(A9&lt;=Assumptions!$B$12,"Moratorium","Repayment"))</f>
        <v>Repayment</v>
      </c>
      <c r="D9" s="11">
        <f t="shared" si="5"/>
        <v>371.76</v>
      </c>
      <c r="E9" s="11">
        <f>IF(B9&gt;25,0,INDEX(Assumptions!$B$22:$B$46,B9))</f>
        <v>60</v>
      </c>
      <c r="F9" s="11">
        <f t="shared" si="1"/>
        <v>15</v>
      </c>
      <c r="G9" s="11">
        <f>D9*Assumptions!$B$16</f>
        <v>8.0393099999999986</v>
      </c>
      <c r="H9" s="11">
        <f>F9/Assumptions!$B$11</f>
        <v>10</v>
      </c>
      <c r="I9" s="11">
        <f>IF(OR(A9&lt;=Assumptions!$B$12,A9&gt;Assumptions!$B$14),0,MAX(0,MIN(D9,H9-G9)))</f>
        <v>1.9606900000000014</v>
      </c>
      <c r="J9" s="11">
        <f>IF(A9&gt;Assumptions!$B$14,0,MIN(SUMPRODUCT((Assumptions!$B$53:$B$57=A9)*Assumptions!$C$53:$C$57)*Assumptions!$B$50,D9-I9))</f>
        <v>18</v>
      </c>
      <c r="K9" s="11">
        <f t="shared" si="2"/>
        <v>19.96069</v>
      </c>
      <c r="L9" s="11">
        <f t="shared" si="3"/>
        <v>351.79930999999999</v>
      </c>
      <c r="M9" s="12">
        <f>IF(OR(A9&gt;Assumptions!$B$14,(G9+I9)=0),"",F9/(G9+I9))</f>
        <v>1.5</v>
      </c>
      <c r="N9" s="10" t="str">
        <f>IF(A9&gt;Assumptions!$B$14,"Closed",IF(A9&lt;=Assumptions!$B$12,"Moratorium",IF(D9=0,"Closed (Repaid Early)",IF(M9&lt;Assumptions!$B$11-0.005,"BREACH","PASS"))))</f>
        <v>PASS</v>
      </c>
      <c r="O9" s="40">
        <f>1/(1+Assumptions!$B$16)^(A9-Assumptions!$B$12)</f>
        <v>0.97883274195521841</v>
      </c>
      <c r="P9" s="41">
        <f>IF(AND(A9&gt;Assumptions!$B$12,A9&lt;=Assumptions!$B$14),H9*O9,0)</f>
        <v>9.7883274195521839</v>
      </c>
      <c r="Q9" s="41">
        <f t="shared" si="4"/>
        <v>17.618989355193932</v>
      </c>
    </row>
    <row r="10" spans="1:17" ht="15" customHeight="1" x14ac:dyDescent="0.25">
      <c r="A10" s="13">
        <v>4</v>
      </c>
      <c r="B10" s="13">
        <f t="shared" si="0"/>
        <v>1</v>
      </c>
      <c r="C10" s="13" t="str">
        <f>IF(A10&gt;Assumptions!$B$14,"Closed",IF(A10&lt;=Assumptions!$B$12,"Moratorium","Repayment"))</f>
        <v>Repayment</v>
      </c>
      <c r="D10" s="14">
        <f t="shared" si="5"/>
        <v>351.79930999999999</v>
      </c>
      <c r="E10" s="14">
        <f>IF(B10&gt;25,0,INDEX(Assumptions!$B$22:$B$46,B10))</f>
        <v>60</v>
      </c>
      <c r="F10" s="14">
        <f t="shared" si="1"/>
        <v>15</v>
      </c>
      <c r="G10" s="14">
        <f>D10*Assumptions!$B$16</f>
        <v>7.6076600787499995</v>
      </c>
      <c r="H10" s="14">
        <f>F10/Assumptions!$B$11</f>
        <v>10</v>
      </c>
      <c r="I10" s="14">
        <f>IF(OR(A10&lt;=Assumptions!$B$12,A10&gt;Assumptions!$B$14),0,MAX(0,MIN(D10,H10-G10)))</f>
        <v>2.3923399212500005</v>
      </c>
      <c r="J10" s="14">
        <f>IF(A10&gt;Assumptions!$B$14,0,MIN(SUMPRODUCT((Assumptions!$B$53:$B$57=A10)*Assumptions!$C$53:$C$57)*Assumptions!$B$50,D10-I10))</f>
        <v>0</v>
      </c>
      <c r="K10" s="14">
        <f t="shared" si="2"/>
        <v>2.3923399212500005</v>
      </c>
      <c r="L10" s="14">
        <f t="shared" si="3"/>
        <v>349.40697007874996</v>
      </c>
      <c r="M10" s="15">
        <f>IF(OR(A10&gt;Assumptions!$B$14,(G10+I10)=0),"",F10/(G10+I10))</f>
        <v>1.5</v>
      </c>
      <c r="N10" s="13" t="str">
        <f>IF(A10&gt;Assumptions!$B$14,"Closed",IF(A10&lt;=Assumptions!$B$12,"Moratorium",IF(D10=0,"Closed (Repaid Early)",IF(M10&lt;Assumptions!$B$11-0.005,"BREACH","PASS"))))</f>
        <v>PASS</v>
      </c>
      <c r="O10" s="40">
        <f>1/(1+Assumptions!$B$16)^(A10-Assumptions!$B$12)</f>
        <v>0.95811353672357125</v>
      </c>
      <c r="P10" s="41">
        <f>IF(AND(A10&gt;Assumptions!$B$12,A10&lt;=Assumptions!$B$14),H10*O10,0)</f>
        <v>9.5811353672357118</v>
      </c>
      <c r="Q10" s="41">
        <f t="shared" si="4"/>
        <v>0</v>
      </c>
    </row>
    <row r="11" spans="1:17" ht="15" customHeight="1" x14ac:dyDescent="0.25">
      <c r="A11" s="10">
        <v>5</v>
      </c>
      <c r="B11" s="10">
        <f t="shared" si="0"/>
        <v>2</v>
      </c>
      <c r="C11" s="10" t="str">
        <f>IF(A11&gt;Assumptions!$B$14,"Closed",IF(A11&lt;=Assumptions!$B$12,"Moratorium","Repayment"))</f>
        <v>Repayment</v>
      </c>
      <c r="D11" s="11">
        <f t="shared" si="5"/>
        <v>349.40697007874996</v>
      </c>
      <c r="E11" s="11">
        <f>IF(B11&gt;25,0,INDEX(Assumptions!$B$22:$B$46,B11))</f>
        <v>60</v>
      </c>
      <c r="F11" s="11">
        <f t="shared" si="1"/>
        <v>15</v>
      </c>
      <c r="G11" s="11">
        <f>D11*Assumptions!$B$16</f>
        <v>7.5559257279529675</v>
      </c>
      <c r="H11" s="11">
        <f>F11/Assumptions!$B$11</f>
        <v>10</v>
      </c>
      <c r="I11" s="11">
        <f>IF(OR(A11&lt;=Assumptions!$B$12,A11&gt;Assumptions!$B$14),0,MAX(0,MIN(D11,H11-G11)))</f>
        <v>2.4440742720470325</v>
      </c>
      <c r="J11" s="11">
        <f>IF(A11&gt;Assumptions!$B$14,0,MIN(SUMPRODUCT((Assumptions!$B$53:$B$57=A11)*Assumptions!$C$53:$C$57)*Assumptions!$B$50,D11-I11))</f>
        <v>0</v>
      </c>
      <c r="K11" s="11">
        <f t="shared" si="2"/>
        <v>2.4440742720470325</v>
      </c>
      <c r="L11" s="11">
        <f t="shared" si="3"/>
        <v>346.96289580670293</v>
      </c>
      <c r="M11" s="12">
        <f>IF(OR(A11&gt;Assumptions!$B$14,(G11+I11)=0),"",F11/(G11+I11))</f>
        <v>1.5</v>
      </c>
      <c r="N11" s="10" t="str">
        <f>IF(A11&gt;Assumptions!$B$14,"Closed",IF(A11&lt;=Assumptions!$B$12,"Moratorium",IF(D11=0,"Closed (Repaid Early)",IF(M11&lt;Assumptions!$B$11-0.005,"BREACH","PASS"))))</f>
        <v>PASS</v>
      </c>
      <c r="O11" s="40">
        <f>1/(1+Assumptions!$B$16)^(A11-Assumptions!$B$12)</f>
        <v>0.93783290025554511</v>
      </c>
      <c r="P11" s="41">
        <f>IF(AND(A11&gt;Assumptions!$B$12,A11&lt;=Assumptions!$B$14),H11*O11,0)</f>
        <v>9.3783290025554518</v>
      </c>
      <c r="Q11" s="41">
        <f t="shared" si="4"/>
        <v>0</v>
      </c>
    </row>
    <row r="12" spans="1:17" ht="15" customHeight="1" x14ac:dyDescent="0.25">
      <c r="A12" s="13">
        <v>6</v>
      </c>
      <c r="B12" s="13">
        <f t="shared" si="0"/>
        <v>2</v>
      </c>
      <c r="C12" s="13" t="str">
        <f>IF(A12&gt;Assumptions!$B$14,"Closed",IF(A12&lt;=Assumptions!$B$12,"Moratorium","Repayment"))</f>
        <v>Repayment</v>
      </c>
      <c r="D12" s="14">
        <f t="shared" si="5"/>
        <v>346.96289580670293</v>
      </c>
      <c r="E12" s="14">
        <f>IF(B12&gt;25,0,INDEX(Assumptions!$B$22:$B$46,B12))</f>
        <v>60</v>
      </c>
      <c r="F12" s="14">
        <f t="shared" si="1"/>
        <v>15</v>
      </c>
      <c r="G12" s="14">
        <f>D12*Assumptions!$B$16</f>
        <v>7.5030726218199506</v>
      </c>
      <c r="H12" s="14">
        <f>F12/Assumptions!$B$11</f>
        <v>10</v>
      </c>
      <c r="I12" s="14">
        <f>IF(OR(A12&lt;=Assumptions!$B$12,A12&gt;Assumptions!$B$14),0,MAX(0,MIN(D12,H12-G12)))</f>
        <v>2.4969273781800494</v>
      </c>
      <c r="J12" s="14">
        <f>IF(A12&gt;Assumptions!$B$14,0,MIN(SUMPRODUCT((Assumptions!$B$53:$B$57=A12)*Assumptions!$C$53:$C$57)*Assumptions!$B$50,D12-I12))</f>
        <v>45</v>
      </c>
      <c r="K12" s="14">
        <f t="shared" si="2"/>
        <v>47.496927378180047</v>
      </c>
      <c r="L12" s="14">
        <f t="shared" si="3"/>
        <v>299.4659684285229</v>
      </c>
      <c r="M12" s="15">
        <f>IF(OR(A12&gt;Assumptions!$B$14,(G12+I12)=0),"",F12/(G12+I12))</f>
        <v>1.5</v>
      </c>
      <c r="N12" s="13" t="str">
        <f>IF(A12&gt;Assumptions!$B$14,"Closed",IF(A12&lt;=Assumptions!$B$12,"Moratorium",IF(D12=0,"Closed (Repaid Early)",IF(M12&lt;Assumptions!$B$11-0.005,"BREACH","PASS"))))</f>
        <v>PASS</v>
      </c>
      <c r="O12" s="40">
        <f>1/(1+Assumptions!$B$16)^(A12-Assumptions!$B$12)</f>
        <v>0.91798154925295006</v>
      </c>
      <c r="P12" s="41">
        <f>IF(AND(A12&gt;Assumptions!$B$12,A12&lt;=Assumptions!$B$14),H12*O12,0)</f>
        <v>9.1798154925295012</v>
      </c>
      <c r="Q12" s="41">
        <f t="shared" si="4"/>
        <v>41.309169716382755</v>
      </c>
    </row>
    <row r="13" spans="1:17" ht="15" customHeight="1" x14ac:dyDescent="0.25">
      <c r="A13" s="10">
        <v>7</v>
      </c>
      <c r="B13" s="10">
        <f t="shared" si="0"/>
        <v>2</v>
      </c>
      <c r="C13" s="10" t="str">
        <f>IF(A13&gt;Assumptions!$B$14,"Closed",IF(A13&lt;=Assumptions!$B$12,"Moratorium","Repayment"))</f>
        <v>Repayment</v>
      </c>
      <c r="D13" s="11">
        <f t="shared" si="5"/>
        <v>299.4659684285229</v>
      </c>
      <c r="E13" s="11">
        <f>IF(B13&gt;25,0,INDEX(Assumptions!$B$22:$B$46,B13))</f>
        <v>60</v>
      </c>
      <c r="F13" s="11">
        <f t="shared" si="1"/>
        <v>15</v>
      </c>
      <c r="G13" s="11">
        <f>D13*Assumptions!$B$16</f>
        <v>6.4759515672668071</v>
      </c>
      <c r="H13" s="11">
        <f>F13/Assumptions!$B$11</f>
        <v>10</v>
      </c>
      <c r="I13" s="11">
        <f>IF(OR(A13&lt;=Assumptions!$B$12,A13&gt;Assumptions!$B$14),0,MAX(0,MIN(D13,H13-G13)))</f>
        <v>3.5240484327331929</v>
      </c>
      <c r="J13" s="11">
        <f>IF(A13&gt;Assumptions!$B$14,0,MIN(SUMPRODUCT((Assumptions!$B$53:$B$57=A13)*Assumptions!$C$53:$C$57)*Assumptions!$B$50,D13-I13))</f>
        <v>0</v>
      </c>
      <c r="K13" s="11">
        <f t="shared" si="2"/>
        <v>3.5240484327331929</v>
      </c>
      <c r="L13" s="11">
        <f t="shared" si="3"/>
        <v>295.9419199957897</v>
      </c>
      <c r="M13" s="12">
        <f>IF(OR(A13&gt;Assumptions!$B$14,(G13+I13)=0),"",F13/(G13+I13))</f>
        <v>1.5</v>
      </c>
      <c r="N13" s="10" t="str">
        <f>IF(A13&gt;Assumptions!$B$14,"Closed",IF(A13&lt;=Assumptions!$B$12,"Moratorium",IF(D13=0,"Closed (Repaid Early)",IF(M13&lt;Assumptions!$B$11-0.005,"BREACH","PASS"))))</f>
        <v>PASS</v>
      </c>
      <c r="O13" s="40">
        <f>1/(1+Assumptions!$B$16)^(A13-Assumptions!$B$12)</f>
        <v>0.8985503969195644</v>
      </c>
      <c r="P13" s="41">
        <f>IF(AND(A13&gt;Assumptions!$B$12,A13&lt;=Assumptions!$B$14),H13*O13,0)</f>
        <v>8.9855039691956442</v>
      </c>
      <c r="Q13" s="41">
        <f t="shared" si="4"/>
        <v>0</v>
      </c>
    </row>
    <row r="14" spans="1:17" ht="15" customHeight="1" x14ac:dyDescent="0.25">
      <c r="A14" s="13">
        <v>8</v>
      </c>
      <c r="B14" s="13">
        <f t="shared" si="0"/>
        <v>2</v>
      </c>
      <c r="C14" s="13" t="str">
        <f>IF(A14&gt;Assumptions!$B$14,"Closed",IF(A14&lt;=Assumptions!$B$12,"Moratorium","Repayment"))</f>
        <v>Repayment</v>
      </c>
      <c r="D14" s="14">
        <f t="shared" si="5"/>
        <v>295.9419199957897</v>
      </c>
      <c r="E14" s="14">
        <f>IF(B14&gt;25,0,INDEX(Assumptions!$B$22:$B$46,B14))</f>
        <v>60</v>
      </c>
      <c r="F14" s="14">
        <f t="shared" si="1"/>
        <v>15</v>
      </c>
      <c r="G14" s="14">
        <f>D14*Assumptions!$B$16</f>
        <v>6.3997440199089519</v>
      </c>
      <c r="H14" s="14">
        <f>F14/Assumptions!$B$11</f>
        <v>10</v>
      </c>
      <c r="I14" s="14">
        <f>IF(OR(A14&lt;=Assumptions!$B$12,A14&gt;Assumptions!$B$14),0,MAX(0,MIN(D14,H14-G14)))</f>
        <v>3.6002559800910481</v>
      </c>
      <c r="J14" s="14">
        <f>IF(A14&gt;Assumptions!$B$14,0,MIN(SUMPRODUCT((Assumptions!$B$53:$B$57=A14)*Assumptions!$C$53:$C$57)*Assumptions!$B$50,D14-I14))</f>
        <v>0</v>
      </c>
      <c r="K14" s="14">
        <f t="shared" si="2"/>
        <v>3.6002559800910481</v>
      </c>
      <c r="L14" s="14">
        <f t="shared" si="3"/>
        <v>292.34166401569865</v>
      </c>
      <c r="M14" s="15">
        <f>IF(OR(A14&gt;Assumptions!$B$14,(G14+I14)=0),"",F14/(G14+I14))</f>
        <v>1.5</v>
      </c>
      <c r="N14" s="13" t="str">
        <f>IF(A14&gt;Assumptions!$B$14,"Closed",IF(A14&lt;=Assumptions!$B$12,"Moratorium",IF(D14=0,"Closed (Repaid Early)",IF(M14&lt;Assumptions!$B$11-0.005,"BREACH","PASS"))))</f>
        <v>PASS</v>
      </c>
      <c r="O14" s="40">
        <f>1/(1+Assumptions!$B$16)^(A14-Assumptions!$B$12)</f>
        <v>0.87953054880172721</v>
      </c>
      <c r="P14" s="41">
        <f>IF(AND(A14&gt;Assumptions!$B$12,A14&lt;=Assumptions!$B$14),H14*O14,0)</f>
        <v>8.7953054880172719</v>
      </c>
      <c r="Q14" s="41">
        <f t="shared" si="4"/>
        <v>0</v>
      </c>
    </row>
    <row r="15" spans="1:17" ht="15" customHeight="1" x14ac:dyDescent="0.25">
      <c r="A15" s="10">
        <v>9</v>
      </c>
      <c r="B15" s="10">
        <f t="shared" si="0"/>
        <v>3</v>
      </c>
      <c r="C15" s="10" t="str">
        <f>IF(A15&gt;Assumptions!$B$14,"Closed",IF(A15&lt;=Assumptions!$B$12,"Moratorium","Repayment"))</f>
        <v>Repayment</v>
      </c>
      <c r="D15" s="11">
        <f t="shared" si="5"/>
        <v>292.34166401569865</v>
      </c>
      <c r="E15" s="11">
        <f>IF(B15&gt;25,0,INDEX(Assumptions!$B$22:$B$46,B15))</f>
        <v>60</v>
      </c>
      <c r="F15" s="11">
        <f t="shared" si="1"/>
        <v>15</v>
      </c>
      <c r="G15" s="11">
        <f>D15*Assumptions!$B$16</f>
        <v>6.3218884843394827</v>
      </c>
      <c r="H15" s="11">
        <f>F15/Assumptions!$B$11</f>
        <v>10</v>
      </c>
      <c r="I15" s="11">
        <f>IF(OR(A15&lt;=Assumptions!$B$12,A15&gt;Assumptions!$B$14),0,MAX(0,MIN(D15,H15-G15)))</f>
        <v>3.6781115156605173</v>
      </c>
      <c r="J15" s="11">
        <f>IF(A15&gt;Assumptions!$B$14,0,MIN(SUMPRODUCT((Assumptions!$B$53:$B$57=A15)*Assumptions!$C$53:$C$57)*Assumptions!$B$50,D15-I15))</f>
        <v>0</v>
      </c>
      <c r="K15" s="11">
        <f t="shared" si="2"/>
        <v>3.6781115156605173</v>
      </c>
      <c r="L15" s="11">
        <f t="shared" si="3"/>
        <v>288.66355250003812</v>
      </c>
      <c r="M15" s="12">
        <f>IF(OR(A15&gt;Assumptions!$B$14,(G15+I15)=0),"",F15/(G15+I15))</f>
        <v>1.5</v>
      </c>
      <c r="N15" s="10" t="str">
        <f>IF(A15&gt;Assumptions!$B$14,"Closed",IF(A15&lt;=Assumptions!$B$12,"Moratorium",IF(D15=0,"Closed (Repaid Early)",IF(M15&lt;Assumptions!$B$11-0.005,"BREACH","PASS"))))</f>
        <v>PASS</v>
      </c>
      <c r="O15" s="40">
        <f>1/(1+Assumptions!$B$16)^(A15-Assumptions!$B$12)</f>
        <v>0.86091329871697275</v>
      </c>
      <c r="P15" s="41">
        <f>IF(AND(A15&gt;Assumptions!$B$12,A15&lt;=Assumptions!$B$14),H15*O15,0)</f>
        <v>8.609132987169728</v>
      </c>
      <c r="Q15" s="41">
        <f t="shared" si="4"/>
        <v>0</v>
      </c>
    </row>
    <row r="16" spans="1:17" ht="15" customHeight="1" x14ac:dyDescent="0.25">
      <c r="A16" s="13">
        <v>10</v>
      </c>
      <c r="B16" s="13">
        <f t="shared" si="0"/>
        <v>3</v>
      </c>
      <c r="C16" s="13" t="str">
        <f>IF(A16&gt;Assumptions!$B$14,"Closed",IF(A16&lt;=Assumptions!$B$12,"Moratorium","Repayment"))</f>
        <v>Repayment</v>
      </c>
      <c r="D16" s="14">
        <f t="shared" si="5"/>
        <v>288.66355250003812</v>
      </c>
      <c r="E16" s="14">
        <f>IF(B16&gt;25,0,INDEX(Assumptions!$B$22:$B$46,B16))</f>
        <v>60</v>
      </c>
      <c r="F16" s="14">
        <f t="shared" si="1"/>
        <v>15</v>
      </c>
      <c r="G16" s="14">
        <f>D16*Assumptions!$B$16</f>
        <v>6.2423493228133236</v>
      </c>
      <c r="H16" s="14">
        <f>F16/Assumptions!$B$11</f>
        <v>10</v>
      </c>
      <c r="I16" s="14">
        <f>IF(OR(A16&lt;=Assumptions!$B$12,A16&gt;Assumptions!$B$14),0,MAX(0,MIN(D16,H16-G16)))</f>
        <v>3.7576506771866764</v>
      </c>
      <c r="J16" s="14">
        <f>IF(A16&gt;Assumptions!$B$14,0,MIN(SUMPRODUCT((Assumptions!$B$53:$B$57=A16)*Assumptions!$C$53:$C$57)*Assumptions!$B$50,D16-I16))</f>
        <v>27</v>
      </c>
      <c r="K16" s="14">
        <f t="shared" si="2"/>
        <v>30.757650677186675</v>
      </c>
      <c r="L16" s="14">
        <f t="shared" si="3"/>
        <v>257.90590182285143</v>
      </c>
      <c r="M16" s="15">
        <f>IF(OR(A16&gt;Assumptions!$B$14,(G16+I16)=0),"",F16/(G16+I16))</f>
        <v>1.5</v>
      </c>
      <c r="N16" s="13" t="str">
        <f>IF(A16&gt;Assumptions!$B$14,"Closed",IF(A16&lt;=Assumptions!$B$12,"Moratorium",IF(D16=0,"Closed (Repaid Early)",IF(M16&lt;Assumptions!$B$11-0.005,"BREACH","PASS"))))</f>
        <v>PASS</v>
      </c>
      <c r="O16" s="40">
        <f>1/(1+Assumptions!$B$16)^(A16-Assumptions!$B$12)</f>
        <v>0.84269012476884642</v>
      </c>
      <c r="P16" s="41">
        <f>IF(AND(A16&gt;Assumptions!$B$12,A16&lt;=Assumptions!$B$14),H16*O16,0)</f>
        <v>8.4269012476884644</v>
      </c>
      <c r="Q16" s="41">
        <f t="shared" si="4"/>
        <v>22.752633368758854</v>
      </c>
    </row>
    <row r="17" spans="1:17" ht="15" customHeight="1" x14ac:dyDescent="0.25">
      <c r="A17" s="10">
        <v>11</v>
      </c>
      <c r="B17" s="10">
        <f t="shared" si="0"/>
        <v>3</v>
      </c>
      <c r="C17" s="10" t="str">
        <f>IF(A17&gt;Assumptions!$B$14,"Closed",IF(A17&lt;=Assumptions!$B$12,"Moratorium","Repayment"))</f>
        <v>Repayment</v>
      </c>
      <c r="D17" s="11">
        <f t="shared" si="5"/>
        <v>257.90590182285143</v>
      </c>
      <c r="E17" s="11">
        <f>IF(B17&gt;25,0,INDEX(Assumptions!$B$22:$B$46,B17))</f>
        <v>60</v>
      </c>
      <c r="F17" s="11">
        <f t="shared" si="1"/>
        <v>15</v>
      </c>
      <c r="G17" s="11">
        <f>D17*Assumptions!$B$16</f>
        <v>5.5772151269191621</v>
      </c>
      <c r="H17" s="11">
        <f>F17/Assumptions!$B$11</f>
        <v>10</v>
      </c>
      <c r="I17" s="11">
        <f>IF(OR(A17&lt;=Assumptions!$B$12,A17&gt;Assumptions!$B$14),0,MAX(0,MIN(D17,H17-G17)))</f>
        <v>4.4227848730808379</v>
      </c>
      <c r="J17" s="11">
        <f>IF(A17&gt;Assumptions!$B$14,0,MIN(SUMPRODUCT((Assumptions!$B$53:$B$57=A17)*Assumptions!$C$53:$C$57)*Assumptions!$B$50,D17-I17))</f>
        <v>0</v>
      </c>
      <c r="K17" s="11">
        <f t="shared" si="2"/>
        <v>4.4227848730808379</v>
      </c>
      <c r="L17" s="11">
        <f t="shared" si="3"/>
        <v>253.48311694977059</v>
      </c>
      <c r="M17" s="12">
        <f>IF(OR(A17&gt;Assumptions!$B$14,(G17+I17)=0),"",F17/(G17+I17))</f>
        <v>1.5</v>
      </c>
      <c r="N17" s="10" t="str">
        <f>IF(A17&gt;Assumptions!$B$14,"Closed",IF(A17&lt;=Assumptions!$B$12,"Moratorium",IF(D17=0,"Closed (Repaid Early)",IF(M17&lt;Assumptions!$B$11-0.005,"BREACH","PASS"))))</f>
        <v>PASS</v>
      </c>
      <c r="O17" s="40">
        <f>1/(1+Assumptions!$B$16)^(A17-Assumptions!$B$12)</f>
        <v>0.82485268544607504</v>
      </c>
      <c r="P17" s="41">
        <f>IF(AND(A17&gt;Assumptions!$B$12,A17&lt;=Assumptions!$B$14),H17*O17,0)</f>
        <v>8.2485268544607511</v>
      </c>
      <c r="Q17" s="41">
        <f t="shared" si="4"/>
        <v>0</v>
      </c>
    </row>
    <row r="18" spans="1:17" ht="15" customHeight="1" x14ac:dyDescent="0.25">
      <c r="A18" s="13">
        <v>12</v>
      </c>
      <c r="B18" s="13">
        <f t="shared" si="0"/>
        <v>3</v>
      </c>
      <c r="C18" s="13" t="str">
        <f>IF(A18&gt;Assumptions!$B$14,"Closed",IF(A18&lt;=Assumptions!$B$12,"Moratorium","Repayment"))</f>
        <v>Repayment</v>
      </c>
      <c r="D18" s="14">
        <f t="shared" si="5"/>
        <v>253.48311694977059</v>
      </c>
      <c r="E18" s="14">
        <f>IF(B18&gt;25,0,INDEX(Assumptions!$B$22:$B$46,B18))</f>
        <v>60</v>
      </c>
      <c r="F18" s="14">
        <f t="shared" si="1"/>
        <v>15</v>
      </c>
      <c r="G18" s="14">
        <f>D18*Assumptions!$B$16</f>
        <v>5.481572404038789</v>
      </c>
      <c r="H18" s="14">
        <f>F18/Assumptions!$B$11</f>
        <v>10</v>
      </c>
      <c r="I18" s="14">
        <f>IF(OR(A18&lt;=Assumptions!$B$12,A18&gt;Assumptions!$B$14),0,MAX(0,MIN(D18,H18-G18)))</f>
        <v>4.518427595961211</v>
      </c>
      <c r="J18" s="14">
        <f>IF(A18&gt;Assumptions!$B$14,0,MIN(SUMPRODUCT((Assumptions!$B$53:$B$57=A18)*Assumptions!$C$53:$C$57)*Assumptions!$B$50,D18-I18))</f>
        <v>0</v>
      </c>
      <c r="K18" s="14">
        <f t="shared" si="2"/>
        <v>4.518427595961211</v>
      </c>
      <c r="L18" s="14">
        <f t="shared" si="3"/>
        <v>248.96468935380938</v>
      </c>
      <c r="M18" s="15">
        <f>IF(OR(A18&gt;Assumptions!$B$14,(G18+I18)=0),"",F18/(G18+I18))</f>
        <v>1.5</v>
      </c>
      <c r="N18" s="13" t="str">
        <f>IF(A18&gt;Assumptions!$B$14,"Closed",IF(A18&lt;=Assumptions!$B$12,"Moratorium",IF(D18=0,"Closed (Repaid Early)",IF(M18&lt;Assumptions!$B$11-0.005,"BREACH","PASS"))))</f>
        <v>PASS</v>
      </c>
      <c r="O18" s="40">
        <f>1/(1+Assumptions!$B$16)^(A18-Assumptions!$B$12)</f>
        <v>0.80739281580430688</v>
      </c>
      <c r="P18" s="41">
        <f>IF(AND(A18&gt;Assumptions!$B$12,A18&lt;=Assumptions!$B$14),H18*O18,0)</f>
        <v>8.0739281580430688</v>
      </c>
      <c r="Q18" s="41">
        <f t="shared" si="4"/>
        <v>0</v>
      </c>
    </row>
    <row r="19" spans="1:17" ht="15" customHeight="1" x14ac:dyDescent="0.25">
      <c r="A19" s="10">
        <v>13</v>
      </c>
      <c r="B19" s="10">
        <f t="shared" si="0"/>
        <v>4</v>
      </c>
      <c r="C19" s="10" t="str">
        <f>IF(A19&gt;Assumptions!$B$14,"Closed",IF(A19&lt;=Assumptions!$B$12,"Moratorium","Repayment"))</f>
        <v>Repayment</v>
      </c>
      <c r="D19" s="11">
        <f t="shared" si="5"/>
        <v>248.96468935380938</v>
      </c>
      <c r="E19" s="11">
        <f>IF(B19&gt;25,0,INDEX(Assumptions!$B$22:$B$46,B19))</f>
        <v>60</v>
      </c>
      <c r="F19" s="11">
        <f t="shared" si="1"/>
        <v>15</v>
      </c>
      <c r="G19" s="11">
        <f>D19*Assumptions!$B$16</f>
        <v>5.3838614072761271</v>
      </c>
      <c r="H19" s="11">
        <f>F19/Assumptions!$B$11</f>
        <v>10</v>
      </c>
      <c r="I19" s="11">
        <f>IF(OR(A19&lt;=Assumptions!$B$12,A19&gt;Assumptions!$B$14),0,MAX(0,MIN(D19,H19-G19)))</f>
        <v>4.6161385927238729</v>
      </c>
      <c r="J19" s="11">
        <f>IF(A19&gt;Assumptions!$B$14,0,MIN(SUMPRODUCT((Assumptions!$B$53:$B$57=A19)*Assumptions!$C$53:$C$57)*Assumptions!$B$50,D19-I19))</f>
        <v>0</v>
      </c>
      <c r="K19" s="11">
        <f t="shared" si="2"/>
        <v>4.6161385927238729</v>
      </c>
      <c r="L19" s="11">
        <f t="shared" si="3"/>
        <v>244.34855076108551</v>
      </c>
      <c r="M19" s="12">
        <f>IF(OR(A19&gt;Assumptions!$B$14,(G19+I19)=0),"",F19/(G19+I19))</f>
        <v>1.5</v>
      </c>
      <c r="N19" s="10" t="str">
        <f>IF(A19&gt;Assumptions!$B$14,"Closed",IF(A19&lt;=Assumptions!$B$12,"Moratorium",IF(D19=0,"Closed (Repaid Early)",IF(M19&lt;Assumptions!$B$11-0.005,"BREACH","PASS"))))</f>
        <v>PASS</v>
      </c>
      <c r="O19" s="40">
        <f>1/(1+Assumptions!$B$16)^(A19-Assumptions!$B$12)</f>
        <v>0.79030252372867438</v>
      </c>
      <c r="P19" s="41">
        <f>IF(AND(A19&gt;Assumptions!$B$12,A19&lt;=Assumptions!$B$14),H19*O19,0)</f>
        <v>7.9030252372867436</v>
      </c>
      <c r="Q19" s="41">
        <f t="shared" si="4"/>
        <v>0</v>
      </c>
    </row>
    <row r="20" spans="1:17" ht="15" customHeight="1" x14ac:dyDescent="0.25">
      <c r="A20" s="13">
        <v>14</v>
      </c>
      <c r="B20" s="13">
        <f t="shared" si="0"/>
        <v>4</v>
      </c>
      <c r="C20" s="13" t="str">
        <f>IF(A20&gt;Assumptions!$B$14,"Closed",IF(A20&lt;=Assumptions!$B$12,"Moratorium","Repayment"))</f>
        <v>Repayment</v>
      </c>
      <c r="D20" s="14">
        <f t="shared" si="5"/>
        <v>244.34855076108551</v>
      </c>
      <c r="E20" s="14">
        <f>IF(B20&gt;25,0,INDEX(Assumptions!$B$22:$B$46,B20))</f>
        <v>60</v>
      </c>
      <c r="F20" s="14">
        <f t="shared" si="1"/>
        <v>15</v>
      </c>
      <c r="G20" s="14">
        <f>D20*Assumptions!$B$16</f>
        <v>5.284037410208474</v>
      </c>
      <c r="H20" s="14">
        <f>F20/Assumptions!$B$11</f>
        <v>10</v>
      </c>
      <c r="I20" s="14">
        <f>IF(OR(A20&lt;=Assumptions!$B$12,A20&gt;Assumptions!$B$14),0,MAX(0,MIN(D20,H20-G20)))</f>
        <v>4.715962589791526</v>
      </c>
      <c r="J20" s="14">
        <f>IF(A20&gt;Assumptions!$B$14,0,MIN(SUMPRODUCT((Assumptions!$B$53:$B$57=A20)*Assumptions!$C$53:$C$57)*Assumptions!$B$50,D20-I20))</f>
        <v>0</v>
      </c>
      <c r="K20" s="14">
        <f t="shared" si="2"/>
        <v>4.715962589791526</v>
      </c>
      <c r="L20" s="14">
        <f t="shared" si="3"/>
        <v>239.63258817129397</v>
      </c>
      <c r="M20" s="15">
        <f>IF(OR(A20&gt;Assumptions!$B$14,(G20+I20)=0),"",F20/(G20+I20))</f>
        <v>1.5</v>
      </c>
      <c r="N20" s="13" t="str">
        <f>IF(A20&gt;Assumptions!$B$14,"Closed",IF(A20&lt;=Assumptions!$B$12,"Moratorium",IF(D20=0,"Closed (Repaid Early)",IF(M20&lt;Assumptions!$B$11-0.005,"BREACH","PASS"))))</f>
        <v>PASS</v>
      </c>
      <c r="O20" s="40">
        <f>1/(1+Assumptions!$B$16)^(A20-Assumptions!$B$12)</f>
        <v>0.77357398627546736</v>
      </c>
      <c r="P20" s="41">
        <f>IF(AND(A20&gt;Assumptions!$B$12,A20&lt;=Assumptions!$B$14),H20*O20,0)</f>
        <v>7.7357398627546736</v>
      </c>
      <c r="Q20" s="41">
        <f t="shared" si="4"/>
        <v>0</v>
      </c>
    </row>
    <row r="21" spans="1:17" ht="15" customHeight="1" x14ac:dyDescent="0.25">
      <c r="A21" s="10">
        <v>15</v>
      </c>
      <c r="B21" s="10">
        <f t="shared" si="0"/>
        <v>4</v>
      </c>
      <c r="C21" s="10" t="str">
        <f>IF(A21&gt;Assumptions!$B$14,"Closed",IF(A21&lt;=Assumptions!$B$12,"Moratorium","Repayment"))</f>
        <v>Repayment</v>
      </c>
      <c r="D21" s="11">
        <f t="shared" si="5"/>
        <v>239.63258817129397</v>
      </c>
      <c r="E21" s="11">
        <f>IF(B21&gt;25,0,INDEX(Assumptions!$B$22:$B$46,B21))</f>
        <v>60</v>
      </c>
      <c r="F21" s="11">
        <f t="shared" si="1"/>
        <v>15</v>
      </c>
      <c r="G21" s="11">
        <f>D21*Assumptions!$B$16</f>
        <v>5.1820547192042321</v>
      </c>
      <c r="H21" s="11">
        <f>F21/Assumptions!$B$11</f>
        <v>10</v>
      </c>
      <c r="I21" s="11">
        <f>IF(OR(A21&lt;=Assumptions!$B$12,A21&gt;Assumptions!$B$14),0,MAX(0,MIN(D21,H21-G21)))</f>
        <v>4.8179452807957679</v>
      </c>
      <c r="J21" s="11">
        <f>IF(A21&gt;Assumptions!$B$14,0,MIN(SUMPRODUCT((Assumptions!$B$53:$B$57=A21)*Assumptions!$C$53:$C$57)*Assumptions!$B$50,D21-I21))</f>
        <v>0</v>
      </c>
      <c r="K21" s="11">
        <f t="shared" si="2"/>
        <v>4.8179452807957679</v>
      </c>
      <c r="L21" s="11">
        <f t="shared" si="3"/>
        <v>234.81464289049822</v>
      </c>
      <c r="M21" s="12">
        <f>IF(OR(A21&gt;Assumptions!$B$14,(G21+I21)=0),"",F21/(G21+I21))</f>
        <v>1.5</v>
      </c>
      <c r="N21" s="10" t="str">
        <f>IF(A21&gt;Assumptions!$B$14,"Closed",IF(A21&lt;=Assumptions!$B$12,"Moratorium",IF(D21=0,"Closed (Repaid Early)",IF(M21&lt;Assumptions!$B$11-0.005,"BREACH","PASS"))))</f>
        <v>PASS</v>
      </c>
      <c r="O21" s="40">
        <f>1/(1+Assumptions!$B$16)^(A21-Assumptions!$B$12)</f>
        <v>0.75719954609124429</v>
      </c>
      <c r="P21" s="41">
        <f>IF(AND(A21&gt;Assumptions!$B$12,A21&lt;=Assumptions!$B$14),H21*O21,0)</f>
        <v>7.5719954609124427</v>
      </c>
      <c r="Q21" s="41">
        <f t="shared" si="4"/>
        <v>0</v>
      </c>
    </row>
    <row r="22" spans="1:17" ht="15" customHeight="1" x14ac:dyDescent="0.25">
      <c r="A22" s="13">
        <v>16</v>
      </c>
      <c r="B22" s="13">
        <f t="shared" si="0"/>
        <v>4</v>
      </c>
      <c r="C22" s="13" t="str">
        <f>IF(A22&gt;Assumptions!$B$14,"Closed",IF(A22&lt;=Assumptions!$B$12,"Moratorium","Repayment"))</f>
        <v>Repayment</v>
      </c>
      <c r="D22" s="14">
        <f t="shared" si="5"/>
        <v>234.81464289049822</v>
      </c>
      <c r="E22" s="14">
        <f>IF(B22&gt;25,0,INDEX(Assumptions!$B$22:$B$46,B22))</f>
        <v>60</v>
      </c>
      <c r="F22" s="14">
        <f t="shared" si="1"/>
        <v>15</v>
      </c>
      <c r="G22" s="14">
        <f>D22*Assumptions!$B$16</f>
        <v>5.0778666525070237</v>
      </c>
      <c r="H22" s="14">
        <f>F22/Assumptions!$B$11</f>
        <v>10</v>
      </c>
      <c r="I22" s="14">
        <f>IF(OR(A22&lt;=Assumptions!$B$12,A22&gt;Assumptions!$B$14),0,MAX(0,MIN(D22,H22-G22)))</f>
        <v>4.9221333474929763</v>
      </c>
      <c r="J22" s="14">
        <f>IF(A22&gt;Assumptions!$B$14,0,MIN(SUMPRODUCT((Assumptions!$B$53:$B$57=A22)*Assumptions!$C$53:$C$57)*Assumptions!$B$50,D22-I22))</f>
        <v>0</v>
      </c>
      <c r="K22" s="14">
        <f t="shared" si="2"/>
        <v>4.9221333474929763</v>
      </c>
      <c r="L22" s="14">
        <f t="shared" si="3"/>
        <v>229.89250954300525</v>
      </c>
      <c r="M22" s="15">
        <f>IF(OR(A22&gt;Assumptions!$B$14,(G22+I22)=0),"",F22/(G22+I22))</f>
        <v>1.5</v>
      </c>
      <c r="N22" s="13" t="str">
        <f>IF(A22&gt;Assumptions!$B$14,"Closed",IF(A22&lt;=Assumptions!$B$12,"Moratorium",IF(D22=0,"Closed (Repaid Early)",IF(M22&lt;Assumptions!$B$11-0.005,"BREACH","PASS"))))</f>
        <v>PASS</v>
      </c>
      <c r="O22" s="40">
        <f>1/(1+Assumptions!$B$16)^(A22-Assumptions!$B$12)</f>
        <v>0.74117170790773945</v>
      </c>
      <c r="P22" s="41">
        <f>IF(AND(A22&gt;Assumptions!$B$12,A22&lt;=Assumptions!$B$14),H22*O22,0)</f>
        <v>7.4117170790773947</v>
      </c>
      <c r="Q22" s="41">
        <f t="shared" si="4"/>
        <v>0</v>
      </c>
    </row>
    <row r="23" spans="1:17" ht="15" customHeight="1" x14ac:dyDescent="0.25">
      <c r="A23" s="10">
        <v>17</v>
      </c>
      <c r="B23" s="10">
        <f t="shared" si="0"/>
        <v>5</v>
      </c>
      <c r="C23" s="10" t="str">
        <f>IF(A23&gt;Assumptions!$B$14,"Closed",IF(A23&lt;=Assumptions!$B$12,"Moratorium","Repayment"))</f>
        <v>Repayment</v>
      </c>
      <c r="D23" s="11">
        <f t="shared" si="5"/>
        <v>229.89250954300525</v>
      </c>
      <c r="E23" s="11">
        <f>IF(B23&gt;25,0,INDEX(Assumptions!$B$22:$B$46,B23))</f>
        <v>60</v>
      </c>
      <c r="F23" s="11">
        <f t="shared" si="1"/>
        <v>15</v>
      </c>
      <c r="G23" s="11">
        <f>D23*Assumptions!$B$16</f>
        <v>4.9714255188674885</v>
      </c>
      <c r="H23" s="11">
        <f>F23/Assumptions!$B$11</f>
        <v>10</v>
      </c>
      <c r="I23" s="11">
        <f>IF(OR(A23&lt;=Assumptions!$B$12,A23&gt;Assumptions!$B$14),0,MAX(0,MIN(D23,H23-G23)))</f>
        <v>5.0285744811325115</v>
      </c>
      <c r="J23" s="11">
        <f>IF(A23&gt;Assumptions!$B$14,0,MIN(SUMPRODUCT((Assumptions!$B$53:$B$57=A23)*Assumptions!$C$53:$C$57)*Assumptions!$B$50,D23-I23))</f>
        <v>0</v>
      </c>
      <c r="K23" s="11">
        <f t="shared" si="2"/>
        <v>5.0285744811325115</v>
      </c>
      <c r="L23" s="11">
        <f t="shared" si="3"/>
        <v>224.86393506187272</v>
      </c>
      <c r="M23" s="12">
        <f>IF(OR(A23&gt;Assumptions!$B$14,(G23+I23)=0),"",F23/(G23+I23))</f>
        <v>1.5</v>
      </c>
      <c r="N23" s="10" t="str">
        <f>IF(A23&gt;Assumptions!$B$14,"Closed",IF(A23&lt;=Assumptions!$B$12,"Moratorium",IF(D23=0,"Closed (Repaid Early)",IF(M23&lt;Assumptions!$B$11-0.005,"BREACH","PASS"))))</f>
        <v>PASS</v>
      </c>
      <c r="O23" s="40">
        <f>1/(1+Assumptions!$B$16)^(A23-Assumptions!$B$12)</f>
        <v>0.72548313511096496</v>
      </c>
      <c r="P23" s="41">
        <f>IF(AND(A23&gt;Assumptions!$B$12,A23&lt;=Assumptions!$B$14),H23*O23,0)</f>
        <v>7.2548313511096492</v>
      </c>
      <c r="Q23" s="41">
        <f t="shared" si="4"/>
        <v>0</v>
      </c>
    </row>
    <row r="24" spans="1:17" ht="15" customHeight="1" x14ac:dyDescent="0.25">
      <c r="A24" s="13">
        <v>18</v>
      </c>
      <c r="B24" s="13">
        <f t="shared" si="0"/>
        <v>5</v>
      </c>
      <c r="C24" s="13" t="str">
        <f>IF(A24&gt;Assumptions!$B$14,"Closed",IF(A24&lt;=Assumptions!$B$12,"Moratorium","Repayment"))</f>
        <v>Repayment</v>
      </c>
      <c r="D24" s="14">
        <f t="shared" si="5"/>
        <v>224.86393506187272</v>
      </c>
      <c r="E24" s="14">
        <f>IF(B24&gt;25,0,INDEX(Assumptions!$B$22:$B$46,B24))</f>
        <v>60</v>
      </c>
      <c r="F24" s="14">
        <f t="shared" si="1"/>
        <v>15</v>
      </c>
      <c r="G24" s="14">
        <f>D24*Assumptions!$B$16</f>
        <v>4.8626825957129975</v>
      </c>
      <c r="H24" s="14">
        <f>F24/Assumptions!$B$11</f>
        <v>10</v>
      </c>
      <c r="I24" s="14">
        <f>IF(OR(A24&lt;=Assumptions!$B$12,A24&gt;Assumptions!$B$14),0,MAX(0,MIN(D24,H24-G24)))</f>
        <v>5.1373174042870025</v>
      </c>
      <c r="J24" s="14">
        <f>IF(A24&gt;Assumptions!$B$14,0,MIN(SUMPRODUCT((Assumptions!$B$53:$B$57=A24)*Assumptions!$C$53:$C$57)*Assumptions!$B$50,D24-I24))</f>
        <v>0</v>
      </c>
      <c r="K24" s="14">
        <f t="shared" si="2"/>
        <v>5.1373174042870025</v>
      </c>
      <c r="L24" s="14">
        <f t="shared" si="3"/>
        <v>219.72661765758573</v>
      </c>
      <c r="M24" s="15">
        <f>IF(OR(A24&gt;Assumptions!$B$14,(G24+I24)=0),"",F24/(G24+I24))</f>
        <v>1.5</v>
      </c>
      <c r="N24" s="13" t="str">
        <f>IF(A24&gt;Assumptions!$B$14,"Closed",IF(A24&lt;=Assumptions!$B$12,"Moratorium",IF(D24=0,"Closed (Repaid Early)",IF(M24&lt;Assumptions!$B$11-0.005,"BREACH","PASS"))))</f>
        <v>PASS</v>
      </c>
      <c r="O24" s="40">
        <f>1/(1+Assumptions!$B$16)^(A24-Assumptions!$B$12)</f>
        <v>0.71012664638293399</v>
      </c>
      <c r="P24" s="41">
        <f>IF(AND(A24&gt;Assumptions!$B$12,A24&lt;=Assumptions!$B$14),H24*O24,0)</f>
        <v>7.1012664638293401</v>
      </c>
      <c r="Q24" s="41">
        <f t="shared" si="4"/>
        <v>0</v>
      </c>
    </row>
    <row r="25" spans="1:17" ht="15" customHeight="1" x14ac:dyDescent="0.25">
      <c r="A25" s="10">
        <v>19</v>
      </c>
      <c r="B25" s="10">
        <f t="shared" si="0"/>
        <v>5</v>
      </c>
      <c r="C25" s="10" t="str">
        <f>IF(A25&gt;Assumptions!$B$14,"Closed",IF(A25&lt;=Assumptions!$B$12,"Moratorium","Repayment"))</f>
        <v>Repayment</v>
      </c>
      <c r="D25" s="11">
        <f t="shared" si="5"/>
        <v>219.72661765758573</v>
      </c>
      <c r="E25" s="11">
        <f>IF(B25&gt;25,0,INDEX(Assumptions!$B$22:$B$46,B25))</f>
        <v>60</v>
      </c>
      <c r="F25" s="11">
        <f t="shared" si="1"/>
        <v>15</v>
      </c>
      <c r="G25" s="11">
        <f>D25*Assumptions!$B$16</f>
        <v>4.7515881068452908</v>
      </c>
      <c r="H25" s="11">
        <f>F25/Assumptions!$B$11</f>
        <v>10</v>
      </c>
      <c r="I25" s="11">
        <f>IF(OR(A25&lt;=Assumptions!$B$12,A25&gt;Assumptions!$B$14),0,MAX(0,MIN(D25,H25-G25)))</f>
        <v>5.2484118931547092</v>
      </c>
      <c r="J25" s="11">
        <f>IF(A25&gt;Assumptions!$B$14,0,MIN(SUMPRODUCT((Assumptions!$B$53:$B$57=A25)*Assumptions!$C$53:$C$57)*Assumptions!$B$50,D25-I25))</f>
        <v>0</v>
      </c>
      <c r="K25" s="11">
        <f t="shared" si="2"/>
        <v>5.2484118931547092</v>
      </c>
      <c r="L25" s="11">
        <f t="shared" si="3"/>
        <v>214.47820576443104</v>
      </c>
      <c r="M25" s="12">
        <f>IF(OR(A25&gt;Assumptions!$B$14,(G25+I25)=0),"",F25/(G25+I25))</f>
        <v>1.5</v>
      </c>
      <c r="N25" s="10" t="str">
        <f>IF(A25&gt;Assumptions!$B$14,"Closed",IF(A25&lt;=Assumptions!$B$12,"Moratorium",IF(D25=0,"Closed (Repaid Early)",IF(M25&lt;Assumptions!$B$11-0.005,"BREACH","PASS"))))</f>
        <v>PASS</v>
      </c>
      <c r="O25" s="40">
        <f>1/(1+Assumptions!$B$16)^(A25-Assumptions!$B$12)</f>
        <v>0.69509521241447092</v>
      </c>
      <c r="P25" s="41">
        <f>IF(AND(A25&gt;Assumptions!$B$12,A25&lt;=Assumptions!$B$14),H25*O25,0)</f>
        <v>6.9509521241447096</v>
      </c>
      <c r="Q25" s="41">
        <f t="shared" si="4"/>
        <v>0</v>
      </c>
    </row>
    <row r="26" spans="1:17" ht="15" customHeight="1" x14ac:dyDescent="0.25">
      <c r="A26" s="13">
        <v>20</v>
      </c>
      <c r="B26" s="13">
        <f t="shared" si="0"/>
        <v>5</v>
      </c>
      <c r="C26" s="13" t="str">
        <f>IF(A26&gt;Assumptions!$B$14,"Closed",IF(A26&lt;=Assumptions!$B$12,"Moratorium","Repayment"))</f>
        <v>Repayment</v>
      </c>
      <c r="D26" s="14">
        <f t="shared" si="5"/>
        <v>214.47820576443104</v>
      </c>
      <c r="E26" s="14">
        <f>IF(B26&gt;25,0,INDEX(Assumptions!$B$22:$B$46,B26))</f>
        <v>60</v>
      </c>
      <c r="F26" s="14">
        <f t="shared" si="1"/>
        <v>15</v>
      </c>
      <c r="G26" s="14">
        <f>D26*Assumptions!$B$16</f>
        <v>4.638091199655821</v>
      </c>
      <c r="H26" s="14">
        <f>F26/Assumptions!$B$11</f>
        <v>10</v>
      </c>
      <c r="I26" s="14">
        <f>IF(OR(A26&lt;=Assumptions!$B$12,A26&gt;Assumptions!$B$14),0,MAX(0,MIN(D26,H26-G26)))</f>
        <v>5.361908800344179</v>
      </c>
      <c r="J26" s="14">
        <f>IF(A26&gt;Assumptions!$B$14,0,MIN(SUMPRODUCT((Assumptions!$B$53:$B$57=A26)*Assumptions!$C$53:$C$57)*Assumptions!$B$50,D26-I26))</f>
        <v>0</v>
      </c>
      <c r="K26" s="14">
        <f t="shared" si="2"/>
        <v>5.361908800344179</v>
      </c>
      <c r="L26" s="14">
        <f t="shared" si="3"/>
        <v>209.11629696408687</v>
      </c>
      <c r="M26" s="15">
        <f>IF(OR(A26&gt;Assumptions!$B$14,(G26+I26)=0),"",F26/(G26+I26))</f>
        <v>1.5</v>
      </c>
      <c r="N26" s="13" t="str">
        <f>IF(A26&gt;Assumptions!$B$14,"Closed",IF(A26&lt;=Assumptions!$B$12,"Moratorium",IF(D26=0,"Closed (Repaid Early)",IF(M26&lt;Assumptions!$B$11-0.005,"BREACH","PASS"))))</f>
        <v>PASS</v>
      </c>
      <c r="O26" s="40">
        <f>1/(1+Assumptions!$B$16)^(A26-Assumptions!$B$12)</f>
        <v>0.6803819526876016</v>
      </c>
      <c r="P26" s="41">
        <f>IF(AND(A26&gt;Assumptions!$B$12,A26&lt;=Assumptions!$B$14),H26*O26,0)</f>
        <v>6.8038195268760155</v>
      </c>
      <c r="Q26" s="41">
        <f t="shared" si="4"/>
        <v>0</v>
      </c>
    </row>
    <row r="27" spans="1:17" ht="15" customHeight="1" x14ac:dyDescent="0.25">
      <c r="A27" s="10">
        <v>21</v>
      </c>
      <c r="B27" s="10">
        <f t="shared" si="0"/>
        <v>6</v>
      </c>
      <c r="C27" s="10" t="str">
        <f>IF(A27&gt;Assumptions!$B$14,"Closed",IF(A27&lt;=Assumptions!$B$12,"Moratorium","Repayment"))</f>
        <v>Repayment</v>
      </c>
      <c r="D27" s="11">
        <f t="shared" si="5"/>
        <v>209.11629696408687</v>
      </c>
      <c r="E27" s="11">
        <f>IF(B27&gt;25,0,INDEX(Assumptions!$B$22:$B$46,B27))</f>
        <v>60</v>
      </c>
      <c r="F27" s="11">
        <f t="shared" si="1"/>
        <v>15</v>
      </c>
      <c r="G27" s="11">
        <f>D27*Assumptions!$B$16</f>
        <v>4.5221399218483782</v>
      </c>
      <c r="H27" s="11">
        <f>F27/Assumptions!$B$11</f>
        <v>10</v>
      </c>
      <c r="I27" s="11">
        <f>IF(OR(A27&lt;=Assumptions!$B$12,A27&gt;Assumptions!$B$14),0,MAX(0,MIN(D27,H27-G27)))</f>
        <v>5.4778600781516218</v>
      </c>
      <c r="J27" s="11">
        <f>IF(A27&gt;Assumptions!$B$14,0,MIN(SUMPRODUCT((Assumptions!$B$53:$B$57=A27)*Assumptions!$C$53:$C$57)*Assumptions!$B$50,D27-I27))</f>
        <v>0</v>
      </c>
      <c r="K27" s="11">
        <f t="shared" si="2"/>
        <v>5.4778600781516218</v>
      </c>
      <c r="L27" s="11">
        <f t="shared" si="3"/>
        <v>203.63843688593525</v>
      </c>
      <c r="M27" s="12">
        <f>IF(OR(A27&gt;Assumptions!$B$14,(G27+I27)=0),"",F27/(G27+I27))</f>
        <v>1.5</v>
      </c>
      <c r="N27" s="10" t="str">
        <f>IF(A27&gt;Assumptions!$B$14,"Closed",IF(A27&lt;=Assumptions!$B$12,"Moratorium",IF(D27=0,"Closed (Repaid Early)",IF(M27&lt;Assumptions!$B$11-0.005,"BREACH","PASS"))))</f>
        <v>PASS</v>
      </c>
      <c r="O27" s="40">
        <f>1/(1+Assumptions!$B$16)^(A27-Assumptions!$B$12)</f>
        <v>0.66598013232605091</v>
      </c>
      <c r="P27" s="41">
        <f>IF(AND(A27&gt;Assumptions!$B$12,A27&lt;=Assumptions!$B$14),H27*O27,0)</f>
        <v>6.6598013232605089</v>
      </c>
      <c r="Q27" s="41">
        <f t="shared" si="4"/>
        <v>0</v>
      </c>
    </row>
    <row r="28" spans="1:17" ht="15" customHeight="1" x14ac:dyDescent="0.25">
      <c r="A28" s="13">
        <v>22</v>
      </c>
      <c r="B28" s="13">
        <f t="shared" si="0"/>
        <v>6</v>
      </c>
      <c r="C28" s="13" t="str">
        <f>IF(A28&gt;Assumptions!$B$14,"Closed",IF(A28&lt;=Assumptions!$B$12,"Moratorium","Repayment"))</f>
        <v>Repayment</v>
      </c>
      <c r="D28" s="14">
        <f t="shared" si="5"/>
        <v>203.63843688593525</v>
      </c>
      <c r="E28" s="14">
        <f>IF(B28&gt;25,0,INDEX(Assumptions!$B$22:$B$46,B28))</f>
        <v>60</v>
      </c>
      <c r="F28" s="14">
        <f t="shared" si="1"/>
        <v>15</v>
      </c>
      <c r="G28" s="14">
        <f>D28*Assumptions!$B$16</f>
        <v>4.4036811976583499</v>
      </c>
      <c r="H28" s="14">
        <f>F28/Assumptions!$B$11</f>
        <v>10</v>
      </c>
      <c r="I28" s="14">
        <f>IF(OR(A28&lt;=Assumptions!$B$12,A28&gt;Assumptions!$B$14),0,MAX(0,MIN(D28,H28-G28)))</f>
        <v>5.5963188023416501</v>
      </c>
      <c r="J28" s="14">
        <f>IF(A28&gt;Assumptions!$B$14,0,MIN(SUMPRODUCT((Assumptions!$B$53:$B$57=A28)*Assumptions!$C$53:$C$57)*Assumptions!$B$50,D28-I28))</f>
        <v>0</v>
      </c>
      <c r="K28" s="14">
        <f t="shared" si="2"/>
        <v>5.5963188023416501</v>
      </c>
      <c r="L28" s="14">
        <f t="shared" si="3"/>
        <v>198.04211808359361</v>
      </c>
      <c r="M28" s="15">
        <f>IF(OR(A28&gt;Assumptions!$B$14,(G28+I28)=0),"",F28/(G28+I28))</f>
        <v>1.5</v>
      </c>
      <c r="N28" s="13" t="str">
        <f>IF(A28&gt;Assumptions!$B$14,"Closed",IF(A28&lt;=Assumptions!$B$12,"Moratorium",IF(D28=0,"Closed (Repaid Early)",IF(M28&lt;Assumptions!$B$11-0.005,"BREACH","PASS"))))</f>
        <v>PASS</v>
      </c>
      <c r="O28" s="40">
        <f>1/(1+Assumptions!$B$16)^(A28-Assumptions!$B$12)</f>
        <v>0.65188315901240756</v>
      </c>
      <c r="P28" s="41">
        <f>IF(AND(A28&gt;Assumptions!$B$12,A28&lt;=Assumptions!$B$14),H28*O28,0)</f>
        <v>6.5188315901240754</v>
      </c>
      <c r="Q28" s="41">
        <f t="shared" si="4"/>
        <v>0</v>
      </c>
    </row>
    <row r="29" spans="1:17" ht="15" customHeight="1" x14ac:dyDescent="0.25">
      <c r="A29" s="10">
        <v>23</v>
      </c>
      <c r="B29" s="10">
        <f t="shared" si="0"/>
        <v>6</v>
      </c>
      <c r="C29" s="10" t="str">
        <f>IF(A29&gt;Assumptions!$B$14,"Closed",IF(A29&lt;=Assumptions!$B$12,"Moratorium","Repayment"))</f>
        <v>Repayment</v>
      </c>
      <c r="D29" s="11">
        <f t="shared" si="5"/>
        <v>198.04211808359361</v>
      </c>
      <c r="E29" s="11">
        <f>IF(B29&gt;25,0,INDEX(Assumptions!$B$22:$B$46,B29))</f>
        <v>60</v>
      </c>
      <c r="F29" s="11">
        <f t="shared" si="1"/>
        <v>15</v>
      </c>
      <c r="G29" s="11">
        <f>D29*Assumptions!$B$16</f>
        <v>4.2826608035577118</v>
      </c>
      <c r="H29" s="11">
        <f>F29/Assumptions!$B$11</f>
        <v>10</v>
      </c>
      <c r="I29" s="11">
        <f>IF(OR(A29&lt;=Assumptions!$B$12,A29&gt;Assumptions!$B$14),0,MAX(0,MIN(D29,H29-G29)))</f>
        <v>5.7173391964422882</v>
      </c>
      <c r="J29" s="11">
        <f>IF(A29&gt;Assumptions!$B$14,0,MIN(SUMPRODUCT((Assumptions!$B$53:$B$57=A29)*Assumptions!$C$53:$C$57)*Assumptions!$B$50,D29-I29))</f>
        <v>0</v>
      </c>
      <c r="K29" s="11">
        <f t="shared" si="2"/>
        <v>5.7173391964422882</v>
      </c>
      <c r="L29" s="11">
        <f t="shared" si="3"/>
        <v>192.32477888715133</v>
      </c>
      <c r="M29" s="12">
        <f>IF(OR(A29&gt;Assumptions!$B$14,(G29+I29)=0),"",F29/(G29+I29))</f>
        <v>1.5</v>
      </c>
      <c r="N29" s="10" t="str">
        <f>IF(A29&gt;Assumptions!$B$14,"Closed",IF(A29&lt;=Assumptions!$B$12,"Moratorium",IF(D29=0,"Closed (Repaid Early)",IF(M29&lt;Assumptions!$B$11-0.005,"BREACH","PASS"))))</f>
        <v>PASS</v>
      </c>
      <c r="O29" s="40">
        <f>1/(1+Assumptions!$B$16)^(A29-Assumptions!$B$12)</f>
        <v>0.63808457997054446</v>
      </c>
      <c r="P29" s="41">
        <f>IF(AND(A29&gt;Assumptions!$B$12,A29&lt;=Assumptions!$B$14),H29*O29,0)</f>
        <v>6.3808457997054449</v>
      </c>
      <c r="Q29" s="41">
        <f t="shared" si="4"/>
        <v>0</v>
      </c>
    </row>
    <row r="30" spans="1:17" ht="15" customHeight="1" x14ac:dyDescent="0.25">
      <c r="A30" s="13">
        <v>24</v>
      </c>
      <c r="B30" s="13">
        <f t="shared" si="0"/>
        <v>6</v>
      </c>
      <c r="C30" s="13" t="str">
        <f>IF(A30&gt;Assumptions!$B$14,"Closed",IF(A30&lt;=Assumptions!$B$12,"Moratorium","Repayment"))</f>
        <v>Repayment</v>
      </c>
      <c r="D30" s="14">
        <f t="shared" si="5"/>
        <v>192.32477888715133</v>
      </c>
      <c r="E30" s="14">
        <f>IF(B30&gt;25,0,INDEX(Assumptions!$B$22:$B$46,B30))</f>
        <v>60</v>
      </c>
      <c r="F30" s="14">
        <f t="shared" si="1"/>
        <v>15</v>
      </c>
      <c r="G30" s="14">
        <f>D30*Assumptions!$B$16</f>
        <v>4.1590233434346473</v>
      </c>
      <c r="H30" s="14">
        <f>F30/Assumptions!$B$11</f>
        <v>10</v>
      </c>
      <c r="I30" s="14">
        <f>IF(OR(A30&lt;=Assumptions!$B$12,A30&gt;Assumptions!$B$14),0,MAX(0,MIN(D30,H30-G30)))</f>
        <v>5.8409766565653527</v>
      </c>
      <c r="J30" s="14">
        <f>IF(A30&gt;Assumptions!$B$14,0,MIN(SUMPRODUCT((Assumptions!$B$53:$B$57=A30)*Assumptions!$C$53:$C$57)*Assumptions!$B$50,D30-I30))</f>
        <v>0</v>
      </c>
      <c r="K30" s="14">
        <f t="shared" si="2"/>
        <v>5.8409766565653527</v>
      </c>
      <c r="L30" s="14">
        <f t="shared" si="3"/>
        <v>186.48380223058598</v>
      </c>
      <c r="M30" s="15">
        <f>IF(OR(A30&gt;Assumptions!$B$14,(G30+I30)=0),"",F30/(G30+I30))</f>
        <v>1.5</v>
      </c>
      <c r="N30" s="13" t="str">
        <f>IF(A30&gt;Assumptions!$B$14,"Closed",IF(A30&lt;=Assumptions!$B$12,"Moratorium",IF(D30=0,"Closed (Repaid Early)",IF(M30&lt;Assumptions!$B$11-0.005,"BREACH","PASS"))))</f>
        <v>PASS</v>
      </c>
      <c r="O30" s="40">
        <f>1/(1+Assumptions!$B$16)^(A30-Assumptions!$B$12)</f>
        <v>0.62457807901191198</v>
      </c>
      <c r="P30" s="41">
        <f>IF(AND(A30&gt;Assumptions!$B$12,A30&lt;=Assumptions!$B$14),H30*O30,0)</f>
        <v>6.2457807901191202</v>
      </c>
      <c r="Q30" s="41">
        <f t="shared" si="4"/>
        <v>0</v>
      </c>
    </row>
    <row r="31" spans="1:17" ht="15" customHeight="1" x14ac:dyDescent="0.25">
      <c r="A31" s="10">
        <v>25</v>
      </c>
      <c r="B31" s="10">
        <f t="shared" si="0"/>
        <v>7</v>
      </c>
      <c r="C31" s="10" t="str">
        <f>IF(A31&gt;Assumptions!$B$14,"Closed",IF(A31&lt;=Assumptions!$B$12,"Moratorium","Repayment"))</f>
        <v>Repayment</v>
      </c>
      <c r="D31" s="11">
        <f t="shared" si="5"/>
        <v>186.48380223058598</v>
      </c>
      <c r="E31" s="11">
        <f>IF(B31&gt;25,0,INDEX(Assumptions!$B$22:$B$46,B31))</f>
        <v>60</v>
      </c>
      <c r="F31" s="11">
        <f t="shared" si="1"/>
        <v>15</v>
      </c>
      <c r="G31" s="11">
        <f>D31*Assumptions!$B$16</f>
        <v>4.0327122232364214</v>
      </c>
      <c r="H31" s="11">
        <f>F31/Assumptions!$B$11</f>
        <v>10</v>
      </c>
      <c r="I31" s="11">
        <f>IF(OR(A31&lt;=Assumptions!$B$12,A31&gt;Assumptions!$B$14),0,MAX(0,MIN(D31,H31-G31)))</f>
        <v>5.9672877767635786</v>
      </c>
      <c r="J31" s="11">
        <f>IF(A31&gt;Assumptions!$B$14,0,MIN(SUMPRODUCT((Assumptions!$B$53:$B$57=A31)*Assumptions!$C$53:$C$57)*Assumptions!$B$50,D31-I31))</f>
        <v>0</v>
      </c>
      <c r="K31" s="11">
        <f t="shared" si="2"/>
        <v>5.9672877767635786</v>
      </c>
      <c r="L31" s="11">
        <f t="shared" si="3"/>
        <v>180.5165144538224</v>
      </c>
      <c r="M31" s="12">
        <f>IF(OR(A31&gt;Assumptions!$B$14,(G31+I31)=0),"",F31/(G31+I31))</f>
        <v>1.5</v>
      </c>
      <c r="N31" s="10" t="str">
        <f>IF(A31&gt;Assumptions!$B$14,"Closed",IF(A31&lt;=Assumptions!$B$12,"Moratorium",IF(D31=0,"Closed (Repaid Early)",IF(M31&lt;Assumptions!$B$11-0.005,"BREACH","PASS"))))</f>
        <v>PASS</v>
      </c>
      <c r="O31" s="40">
        <f>1/(1+Assumptions!$B$16)^(A31-Assumptions!$B$12)</f>
        <v>0.61135747364435289</v>
      </c>
      <c r="P31" s="41">
        <f>IF(AND(A31&gt;Assumptions!$B$12,A31&lt;=Assumptions!$B$14),H31*O31,0)</f>
        <v>6.1135747364435291</v>
      </c>
      <c r="Q31" s="41">
        <f t="shared" si="4"/>
        <v>0</v>
      </c>
    </row>
    <row r="32" spans="1:17" ht="15" customHeight="1" x14ac:dyDescent="0.25">
      <c r="A32" s="13">
        <v>26</v>
      </c>
      <c r="B32" s="13">
        <f t="shared" si="0"/>
        <v>7</v>
      </c>
      <c r="C32" s="13" t="str">
        <f>IF(A32&gt;Assumptions!$B$14,"Closed",IF(A32&lt;=Assumptions!$B$12,"Moratorium","Repayment"))</f>
        <v>Repayment</v>
      </c>
      <c r="D32" s="14">
        <f t="shared" si="5"/>
        <v>180.5165144538224</v>
      </c>
      <c r="E32" s="14">
        <f>IF(B32&gt;25,0,INDEX(Assumptions!$B$22:$B$46,B32))</f>
        <v>60</v>
      </c>
      <c r="F32" s="14">
        <f t="shared" si="1"/>
        <v>15</v>
      </c>
      <c r="G32" s="14">
        <f>D32*Assumptions!$B$16</f>
        <v>3.9036696250639089</v>
      </c>
      <c r="H32" s="14">
        <f>F32/Assumptions!$B$11</f>
        <v>10</v>
      </c>
      <c r="I32" s="14">
        <f>IF(OR(A32&lt;=Assumptions!$B$12,A32&gt;Assumptions!$B$14),0,MAX(0,MIN(D32,H32-G32)))</f>
        <v>6.0963303749360911</v>
      </c>
      <c r="J32" s="14">
        <f>IF(A32&gt;Assumptions!$B$14,0,MIN(SUMPRODUCT((Assumptions!$B$53:$B$57=A32)*Assumptions!$C$53:$C$57)*Assumptions!$B$50,D32-I32))</f>
        <v>0</v>
      </c>
      <c r="K32" s="14">
        <f t="shared" si="2"/>
        <v>6.0963303749360911</v>
      </c>
      <c r="L32" s="14">
        <f t="shared" si="3"/>
        <v>174.42018407888631</v>
      </c>
      <c r="M32" s="15">
        <f>IF(OR(A32&gt;Assumptions!$B$14,(G32+I32)=0),"",F32/(G32+I32))</f>
        <v>1.5</v>
      </c>
      <c r="N32" s="13" t="str">
        <f>IF(A32&gt;Assumptions!$B$14,"Closed",IF(A32&lt;=Assumptions!$B$12,"Moratorium",IF(D32=0,"Closed (Repaid Early)",IF(M32&lt;Assumptions!$B$11-0.005,"BREACH","PASS"))))</f>
        <v>PASS</v>
      </c>
      <c r="O32" s="40">
        <f>1/(1+Assumptions!$B$16)^(A32-Assumptions!$B$12)</f>
        <v>0.59841671224211712</v>
      </c>
      <c r="P32" s="41">
        <f>IF(AND(A32&gt;Assumptions!$B$12,A32&lt;=Assumptions!$B$14),H32*O32,0)</f>
        <v>5.9841671224211712</v>
      </c>
      <c r="Q32" s="41">
        <f t="shared" si="4"/>
        <v>0</v>
      </c>
    </row>
    <row r="33" spans="1:17" ht="15" customHeight="1" x14ac:dyDescent="0.25">
      <c r="A33" s="10">
        <v>27</v>
      </c>
      <c r="B33" s="10">
        <f t="shared" si="0"/>
        <v>7</v>
      </c>
      <c r="C33" s="10" t="str">
        <f>IF(A33&gt;Assumptions!$B$14,"Closed",IF(A33&lt;=Assumptions!$B$12,"Moratorium","Repayment"))</f>
        <v>Repayment</v>
      </c>
      <c r="D33" s="11">
        <f t="shared" si="5"/>
        <v>174.42018407888631</v>
      </c>
      <c r="E33" s="11">
        <f>IF(B33&gt;25,0,INDEX(Assumptions!$B$22:$B$46,B33))</f>
        <v>60</v>
      </c>
      <c r="F33" s="11">
        <f t="shared" si="1"/>
        <v>15</v>
      </c>
      <c r="G33" s="11">
        <f>D33*Assumptions!$B$16</f>
        <v>3.7718364807059159</v>
      </c>
      <c r="H33" s="11">
        <f>F33/Assumptions!$B$11</f>
        <v>10</v>
      </c>
      <c r="I33" s="11">
        <f>IF(OR(A33&lt;=Assumptions!$B$12,A33&gt;Assumptions!$B$14),0,MAX(0,MIN(D33,H33-G33)))</f>
        <v>6.2281635192940836</v>
      </c>
      <c r="J33" s="11">
        <f>IF(A33&gt;Assumptions!$B$14,0,MIN(SUMPRODUCT((Assumptions!$B$53:$B$57=A33)*Assumptions!$C$53:$C$57)*Assumptions!$B$50,D33-I33))</f>
        <v>0</v>
      </c>
      <c r="K33" s="11">
        <f t="shared" si="2"/>
        <v>6.2281635192940836</v>
      </c>
      <c r="L33" s="11">
        <f t="shared" si="3"/>
        <v>168.19202055959224</v>
      </c>
      <c r="M33" s="12">
        <f>IF(OR(A33&gt;Assumptions!$B$14,(G33+I33)=0),"",F33/(G33+I33))</f>
        <v>1.5</v>
      </c>
      <c r="N33" s="10" t="str">
        <f>IF(A33&gt;Assumptions!$B$14,"Closed",IF(A33&lt;=Assumptions!$B$12,"Moratorium",IF(D33=0,"Closed (Repaid Early)",IF(M33&lt;Assumptions!$B$11-0.005,"BREACH","PASS"))))</f>
        <v>PASS</v>
      </c>
      <c r="O33" s="40">
        <f>1/(1+Assumptions!$B$16)^(A33-Assumptions!$B$12)</f>
        <v>0.58574987127577838</v>
      </c>
      <c r="P33" s="41">
        <f>IF(AND(A33&gt;Assumptions!$B$12,A33&lt;=Assumptions!$B$14),H33*O33,0)</f>
        <v>5.857498712757784</v>
      </c>
      <c r="Q33" s="41">
        <f t="shared" si="4"/>
        <v>0</v>
      </c>
    </row>
    <row r="34" spans="1:17" ht="15" customHeight="1" x14ac:dyDescent="0.25">
      <c r="A34" s="13">
        <v>28</v>
      </c>
      <c r="B34" s="13">
        <f t="shared" si="0"/>
        <v>7</v>
      </c>
      <c r="C34" s="13" t="str">
        <f>IF(A34&gt;Assumptions!$B$14,"Closed",IF(A34&lt;=Assumptions!$B$12,"Moratorium","Repayment"))</f>
        <v>Repayment</v>
      </c>
      <c r="D34" s="14">
        <f t="shared" si="5"/>
        <v>168.19202055959224</v>
      </c>
      <c r="E34" s="14">
        <f>IF(B34&gt;25,0,INDEX(Assumptions!$B$22:$B$46,B34))</f>
        <v>60</v>
      </c>
      <c r="F34" s="14">
        <f t="shared" si="1"/>
        <v>15</v>
      </c>
      <c r="G34" s="14">
        <f>D34*Assumptions!$B$16</f>
        <v>3.637152444601182</v>
      </c>
      <c r="H34" s="14">
        <f>F34/Assumptions!$B$11</f>
        <v>10</v>
      </c>
      <c r="I34" s="14">
        <f>IF(OR(A34&lt;=Assumptions!$B$12,A34&gt;Assumptions!$B$14),0,MAX(0,MIN(D34,H34-G34)))</f>
        <v>6.362847555398818</v>
      </c>
      <c r="J34" s="14">
        <f>IF(A34&gt;Assumptions!$B$14,0,MIN(SUMPRODUCT((Assumptions!$B$53:$B$57=A34)*Assumptions!$C$53:$C$57)*Assumptions!$B$50,D34-I34))</f>
        <v>0</v>
      </c>
      <c r="K34" s="14">
        <f t="shared" si="2"/>
        <v>6.362847555398818</v>
      </c>
      <c r="L34" s="14">
        <f t="shared" si="3"/>
        <v>161.82917300419342</v>
      </c>
      <c r="M34" s="15">
        <f>IF(OR(A34&gt;Assumptions!$B$14,(G34+I34)=0),"",F34/(G34+I34))</f>
        <v>1.5</v>
      </c>
      <c r="N34" s="13" t="str">
        <f>IF(A34&gt;Assumptions!$B$14,"Closed",IF(A34&lt;=Assumptions!$B$12,"Moratorium",IF(D34=0,"Closed (Repaid Early)",IF(M34&lt;Assumptions!$B$11-0.005,"BREACH","PASS"))))</f>
        <v>PASS</v>
      </c>
      <c r="O34" s="40">
        <f>1/(1+Assumptions!$B$16)^(A34-Assumptions!$B$12)</f>
        <v>0.5733511526007864</v>
      </c>
      <c r="P34" s="41">
        <f>IF(AND(A34&gt;Assumptions!$B$12,A34&lt;=Assumptions!$B$14),H34*O34,0)</f>
        <v>5.733511526007864</v>
      </c>
      <c r="Q34" s="41">
        <f t="shared" si="4"/>
        <v>0</v>
      </c>
    </row>
    <row r="35" spans="1:17" ht="15" customHeight="1" x14ac:dyDescent="0.25">
      <c r="A35" s="10">
        <v>29</v>
      </c>
      <c r="B35" s="10">
        <f t="shared" si="0"/>
        <v>8</v>
      </c>
      <c r="C35" s="10" t="str">
        <f>IF(A35&gt;Assumptions!$B$14,"Closed",IF(A35&lt;=Assumptions!$B$12,"Moratorium","Repayment"))</f>
        <v>Repayment</v>
      </c>
      <c r="D35" s="11">
        <f t="shared" si="5"/>
        <v>161.82917300419342</v>
      </c>
      <c r="E35" s="11">
        <f>IF(B35&gt;25,0,INDEX(Assumptions!$B$22:$B$46,B35))</f>
        <v>60</v>
      </c>
      <c r="F35" s="11">
        <f t="shared" si="1"/>
        <v>15</v>
      </c>
      <c r="G35" s="11">
        <f>D35*Assumptions!$B$16</f>
        <v>3.4995558662156823</v>
      </c>
      <c r="H35" s="11">
        <f>F35/Assumptions!$B$11</f>
        <v>10</v>
      </c>
      <c r="I35" s="11">
        <f>IF(OR(A35&lt;=Assumptions!$B$12,A35&gt;Assumptions!$B$14),0,MAX(0,MIN(D35,H35-G35)))</f>
        <v>6.5004441337843177</v>
      </c>
      <c r="J35" s="11">
        <f>IF(A35&gt;Assumptions!$B$14,0,MIN(SUMPRODUCT((Assumptions!$B$53:$B$57=A35)*Assumptions!$C$53:$C$57)*Assumptions!$B$50,D35-I35))</f>
        <v>0</v>
      </c>
      <c r="K35" s="11">
        <f t="shared" si="2"/>
        <v>6.5004441337843177</v>
      </c>
      <c r="L35" s="11">
        <f t="shared" si="3"/>
        <v>155.32872887040909</v>
      </c>
      <c r="M35" s="12">
        <f>IF(OR(A35&gt;Assumptions!$B$14,(G35+I35)=0),"",F35/(G35+I35))</f>
        <v>1.5</v>
      </c>
      <c r="N35" s="10" t="str">
        <f>IF(A35&gt;Assumptions!$B$14,"Closed",IF(A35&lt;=Assumptions!$B$12,"Moratorium",IF(D35=0,"Closed (Repaid Early)",IF(M35&lt;Assumptions!$B$11-0.005,"BREACH","PASS"))))</f>
        <v>PASS</v>
      </c>
      <c r="O35" s="40">
        <f>1/(1+Assumptions!$B$16)^(A35-Assumptions!$B$12)</f>
        <v>0.56121488080341264</v>
      </c>
      <c r="P35" s="41">
        <f>IF(AND(A35&gt;Assumptions!$B$12,A35&lt;=Assumptions!$B$14),H35*O35,0)</f>
        <v>5.6121488080341262</v>
      </c>
      <c r="Q35" s="41">
        <f t="shared" si="4"/>
        <v>0</v>
      </c>
    </row>
    <row r="36" spans="1:17" ht="15" customHeight="1" x14ac:dyDescent="0.25">
      <c r="A36" s="13">
        <v>30</v>
      </c>
      <c r="B36" s="13">
        <f t="shared" si="0"/>
        <v>8</v>
      </c>
      <c r="C36" s="13" t="str">
        <f>IF(A36&gt;Assumptions!$B$14,"Closed",IF(A36&lt;=Assumptions!$B$12,"Moratorium","Repayment"))</f>
        <v>Repayment</v>
      </c>
      <c r="D36" s="14">
        <f t="shared" si="5"/>
        <v>155.32872887040909</v>
      </c>
      <c r="E36" s="14">
        <f>IF(B36&gt;25,0,INDEX(Assumptions!$B$22:$B$46,B36))</f>
        <v>60</v>
      </c>
      <c r="F36" s="14">
        <f t="shared" si="1"/>
        <v>15</v>
      </c>
      <c r="G36" s="14">
        <f>D36*Assumptions!$B$16</f>
        <v>3.3589837618225964</v>
      </c>
      <c r="H36" s="14">
        <f>F36/Assumptions!$B$11</f>
        <v>10</v>
      </c>
      <c r="I36" s="14">
        <f>IF(OR(A36&lt;=Assumptions!$B$12,A36&gt;Assumptions!$B$14),0,MAX(0,MIN(D36,H36-G36)))</f>
        <v>6.6410162381774036</v>
      </c>
      <c r="J36" s="14">
        <f>IF(A36&gt;Assumptions!$B$14,0,MIN(SUMPRODUCT((Assumptions!$B$53:$B$57=A36)*Assumptions!$C$53:$C$57)*Assumptions!$B$50,D36-I36))</f>
        <v>0</v>
      </c>
      <c r="K36" s="14">
        <f t="shared" si="2"/>
        <v>6.6410162381774036</v>
      </c>
      <c r="L36" s="14">
        <f t="shared" si="3"/>
        <v>148.68771263223169</v>
      </c>
      <c r="M36" s="15">
        <f>IF(OR(A36&gt;Assumptions!$B$14,(G36+I36)=0),"",F36/(G36+I36))</f>
        <v>1.5</v>
      </c>
      <c r="N36" s="13" t="str">
        <f>IF(A36&gt;Assumptions!$B$14,"Closed",IF(A36&lt;=Assumptions!$B$12,"Moratorium",IF(D36=0,"Closed (Repaid Early)",IF(M36&lt;Assumptions!$B$11-0.005,"BREACH","PASS"))))</f>
        <v>PASS</v>
      </c>
      <c r="O36" s="40">
        <f>1/(1+Assumptions!$B$16)^(A36-Assumptions!$B$12)</f>
        <v>0.54933550060287539</v>
      </c>
      <c r="P36" s="41">
        <f>IF(AND(A36&gt;Assumptions!$B$12,A36&lt;=Assumptions!$B$14),H36*O36,0)</f>
        <v>5.4933550060287537</v>
      </c>
      <c r="Q36" s="41">
        <f t="shared" si="4"/>
        <v>0</v>
      </c>
    </row>
    <row r="37" spans="1:17" ht="15" customHeight="1" x14ac:dyDescent="0.25">
      <c r="A37" s="10">
        <v>31</v>
      </c>
      <c r="B37" s="10">
        <f t="shared" si="0"/>
        <v>8</v>
      </c>
      <c r="C37" s="10" t="str">
        <f>IF(A37&gt;Assumptions!$B$14,"Closed",IF(A37&lt;=Assumptions!$B$12,"Moratorium","Repayment"))</f>
        <v>Repayment</v>
      </c>
      <c r="D37" s="11">
        <f t="shared" si="5"/>
        <v>148.68771263223169</v>
      </c>
      <c r="E37" s="11">
        <f>IF(B37&gt;25,0,INDEX(Assumptions!$B$22:$B$46,B37))</f>
        <v>60</v>
      </c>
      <c r="F37" s="11">
        <f t="shared" si="1"/>
        <v>15</v>
      </c>
      <c r="G37" s="11">
        <f>D37*Assumptions!$B$16</f>
        <v>3.2153717856720103</v>
      </c>
      <c r="H37" s="11">
        <f>F37/Assumptions!$B$11</f>
        <v>10</v>
      </c>
      <c r="I37" s="11">
        <f>IF(OR(A37&lt;=Assumptions!$B$12,A37&gt;Assumptions!$B$14),0,MAX(0,MIN(D37,H37-G37)))</f>
        <v>6.7846282143279897</v>
      </c>
      <c r="J37" s="11">
        <f>IF(A37&gt;Assumptions!$B$14,0,MIN(SUMPRODUCT((Assumptions!$B$53:$B$57=A37)*Assumptions!$C$53:$C$57)*Assumptions!$B$50,D37-I37))</f>
        <v>0</v>
      </c>
      <c r="K37" s="11">
        <f t="shared" si="2"/>
        <v>6.7846282143279897</v>
      </c>
      <c r="L37" s="11">
        <f t="shared" si="3"/>
        <v>141.9030844179037</v>
      </c>
      <c r="M37" s="12">
        <f>IF(OR(A37&gt;Assumptions!$B$14,(G37+I37)=0),"",F37/(G37+I37))</f>
        <v>1.5</v>
      </c>
      <c r="N37" s="10" t="str">
        <f>IF(A37&gt;Assumptions!$B$14,"Closed",IF(A37&lt;=Assumptions!$B$12,"Moratorium",IF(D37=0,"Closed (Repaid Early)",IF(M37&lt;Assumptions!$B$11-0.005,"BREACH","PASS"))))</f>
        <v>PASS</v>
      </c>
      <c r="O37" s="40">
        <f>1/(1+Assumptions!$B$16)^(A37-Assumptions!$B$12)</f>
        <v>0.53770757430845506</v>
      </c>
      <c r="P37" s="41">
        <f>IF(AND(A37&gt;Assumptions!$B$12,A37&lt;=Assumptions!$B$14),H37*O37,0)</f>
        <v>5.3770757430845508</v>
      </c>
      <c r="Q37" s="41">
        <f t="shared" si="4"/>
        <v>0</v>
      </c>
    </row>
    <row r="38" spans="1:17" ht="15" customHeight="1" x14ac:dyDescent="0.25">
      <c r="A38" s="13">
        <v>32</v>
      </c>
      <c r="B38" s="13">
        <f t="shared" si="0"/>
        <v>8</v>
      </c>
      <c r="C38" s="13" t="str">
        <f>IF(A38&gt;Assumptions!$B$14,"Closed",IF(A38&lt;=Assumptions!$B$12,"Moratorium","Repayment"))</f>
        <v>Repayment</v>
      </c>
      <c r="D38" s="14">
        <f t="shared" si="5"/>
        <v>141.9030844179037</v>
      </c>
      <c r="E38" s="14">
        <f>IF(B38&gt;25,0,INDEX(Assumptions!$B$22:$B$46,B38))</f>
        <v>60</v>
      </c>
      <c r="F38" s="14">
        <f t="shared" si="1"/>
        <v>15</v>
      </c>
      <c r="G38" s="14">
        <f>D38*Assumptions!$B$16</f>
        <v>3.0686542005371673</v>
      </c>
      <c r="H38" s="14">
        <f>F38/Assumptions!$B$11</f>
        <v>10</v>
      </c>
      <c r="I38" s="14">
        <f>IF(OR(A38&lt;=Assumptions!$B$12,A38&gt;Assumptions!$B$14),0,MAX(0,MIN(D38,H38-G38)))</f>
        <v>6.9313457994628322</v>
      </c>
      <c r="J38" s="14">
        <f>IF(A38&gt;Assumptions!$B$14,0,MIN(SUMPRODUCT((Assumptions!$B$53:$B$57=A38)*Assumptions!$C$53:$C$57)*Assumptions!$B$50,D38-I38))</f>
        <v>0</v>
      </c>
      <c r="K38" s="14">
        <f t="shared" si="2"/>
        <v>6.9313457994628322</v>
      </c>
      <c r="L38" s="14">
        <f t="shared" si="3"/>
        <v>134.97173861844087</v>
      </c>
      <c r="M38" s="15">
        <f>IF(OR(A38&gt;Assumptions!$B$14,(G38+I38)=0),"",F38/(G38+I38))</f>
        <v>1.5</v>
      </c>
      <c r="N38" s="13" t="str">
        <f>IF(A38&gt;Assumptions!$B$14,"Closed",IF(A38&lt;=Assumptions!$B$12,"Moratorium",IF(D38=0,"Closed (Repaid Early)",IF(M38&lt;Assumptions!$B$11-0.005,"BREACH","PASS"))))</f>
        <v>PASS</v>
      </c>
      <c r="O38" s="40">
        <f>1/(1+Assumptions!$B$16)^(A38-Assumptions!$B$12)</f>
        <v>0.52632577933043456</v>
      </c>
      <c r="P38" s="41">
        <f>IF(AND(A38&gt;Assumptions!$B$12,A38&lt;=Assumptions!$B$14),H38*O38,0)</f>
        <v>5.2632577933043461</v>
      </c>
      <c r="Q38" s="41">
        <f t="shared" si="4"/>
        <v>0</v>
      </c>
    </row>
    <row r="39" spans="1:17" ht="15" customHeight="1" x14ac:dyDescent="0.25">
      <c r="A39" s="10">
        <v>33</v>
      </c>
      <c r="B39" s="10">
        <f t="shared" ref="B39:B70" si="6">ROUNDUP(A39/4,0)</f>
        <v>9</v>
      </c>
      <c r="C39" s="10" t="str">
        <f>IF(A39&gt;Assumptions!$B$14,"Closed",IF(A39&lt;=Assumptions!$B$12,"Moratorium","Repayment"))</f>
        <v>Repayment</v>
      </c>
      <c r="D39" s="11">
        <f t="shared" si="5"/>
        <v>134.97173861844087</v>
      </c>
      <c r="E39" s="11">
        <f>IF(B39&gt;25,0,INDEX(Assumptions!$B$22:$B$46,B39))</f>
        <v>60</v>
      </c>
      <c r="F39" s="11">
        <f t="shared" ref="F39:F70" si="7">E39/4</f>
        <v>15</v>
      </c>
      <c r="G39" s="11">
        <f>D39*Assumptions!$B$16</f>
        <v>2.9187638476237834</v>
      </c>
      <c r="H39" s="11">
        <f>F39/Assumptions!$B$11</f>
        <v>10</v>
      </c>
      <c r="I39" s="11">
        <f>IF(OR(A39&lt;=Assumptions!$B$12,A39&gt;Assumptions!$B$14),0,MAX(0,MIN(D39,H39-G39)))</f>
        <v>7.0812361523762171</v>
      </c>
      <c r="J39" s="11">
        <f>IF(A39&gt;Assumptions!$B$14,0,MIN(SUMPRODUCT((Assumptions!$B$53:$B$57=A39)*Assumptions!$C$53:$C$57)*Assumptions!$B$50,D39-I39))</f>
        <v>0</v>
      </c>
      <c r="K39" s="11">
        <f t="shared" ref="K39:K70" si="8">I39+J39</f>
        <v>7.0812361523762171</v>
      </c>
      <c r="L39" s="11">
        <f t="shared" ref="L39:L70" si="9">D39-K39</f>
        <v>127.89050246606465</v>
      </c>
      <c r="M39" s="12">
        <f>IF(OR(A39&gt;Assumptions!$B$14,(G39+I39)=0),"",F39/(G39+I39))</f>
        <v>1.5</v>
      </c>
      <c r="N39" s="10" t="str">
        <f>IF(A39&gt;Assumptions!$B$14,"Closed",IF(A39&lt;=Assumptions!$B$12,"Moratorium",IF(D39=0,"Closed (Repaid Early)",IF(M39&lt;Assumptions!$B$11-0.005,"BREACH","PASS"))))</f>
        <v>PASS</v>
      </c>
      <c r="O39" s="40">
        <f>1/(1+Assumptions!$B$16)^(A39-Assumptions!$B$12)</f>
        <v>0.51518490574372655</v>
      </c>
      <c r="P39" s="41">
        <f>IF(AND(A39&gt;Assumptions!$B$12,A39&lt;=Assumptions!$B$14),H39*O39,0)</f>
        <v>5.151849057437266</v>
      </c>
      <c r="Q39" s="41">
        <f t="shared" ref="Q39:Q70" si="10">J39*O39</f>
        <v>0</v>
      </c>
    </row>
    <row r="40" spans="1:17" ht="15" customHeight="1" x14ac:dyDescent="0.25">
      <c r="A40" s="13">
        <v>34</v>
      </c>
      <c r="B40" s="13">
        <f t="shared" si="6"/>
        <v>9</v>
      </c>
      <c r="C40" s="13" t="str">
        <f>IF(A40&gt;Assumptions!$B$14,"Closed",IF(A40&lt;=Assumptions!$B$12,"Moratorium","Repayment"))</f>
        <v>Repayment</v>
      </c>
      <c r="D40" s="14">
        <f t="shared" ref="D40:D71" si="11">L39</f>
        <v>127.89050246606465</v>
      </c>
      <c r="E40" s="14">
        <f>IF(B40&gt;25,0,INDEX(Assumptions!$B$22:$B$46,B40))</f>
        <v>60</v>
      </c>
      <c r="F40" s="14">
        <f t="shared" si="7"/>
        <v>15</v>
      </c>
      <c r="G40" s="14">
        <f>D40*Assumptions!$B$16</f>
        <v>2.7656321158286477</v>
      </c>
      <c r="H40" s="14">
        <f>F40/Assumptions!$B$11</f>
        <v>10</v>
      </c>
      <c r="I40" s="14">
        <f>IF(OR(A40&lt;=Assumptions!$B$12,A40&gt;Assumptions!$B$14),0,MAX(0,MIN(D40,H40-G40)))</f>
        <v>7.2343678841713519</v>
      </c>
      <c r="J40" s="14">
        <f>IF(A40&gt;Assumptions!$B$14,0,MIN(SUMPRODUCT((Assumptions!$B$53:$B$57=A40)*Assumptions!$C$53:$C$57)*Assumptions!$B$50,D40-I40))</f>
        <v>0</v>
      </c>
      <c r="K40" s="14">
        <f t="shared" si="8"/>
        <v>7.2343678841713519</v>
      </c>
      <c r="L40" s="14">
        <f t="shared" si="9"/>
        <v>120.6561345818933</v>
      </c>
      <c r="M40" s="15">
        <f>IF(OR(A40&gt;Assumptions!$B$14,(G40+I40)=0),"",F40/(G40+I40))</f>
        <v>1.5</v>
      </c>
      <c r="N40" s="13" t="str">
        <f>IF(A40&gt;Assumptions!$B$14,"Closed",IF(A40&lt;=Assumptions!$B$12,"Moratorium",IF(D40=0,"Closed (Repaid Early)",IF(M40&lt;Assumptions!$B$11-0.005,"BREACH","PASS"))))</f>
        <v>PASS</v>
      </c>
      <c r="O40" s="40">
        <f>1/(1+Assumptions!$B$16)^(A40-Assumptions!$B$12)</f>
        <v>0.50427985390307251</v>
      </c>
      <c r="P40" s="41">
        <f>IF(AND(A40&gt;Assumptions!$B$12,A40&lt;=Assumptions!$B$14),H40*O40,0)</f>
        <v>5.0427985390307253</v>
      </c>
      <c r="Q40" s="41">
        <f t="shared" si="10"/>
        <v>0</v>
      </c>
    </row>
    <row r="41" spans="1:17" ht="15" customHeight="1" x14ac:dyDescent="0.25">
      <c r="A41" s="10">
        <v>35</v>
      </c>
      <c r="B41" s="10">
        <f t="shared" si="6"/>
        <v>9</v>
      </c>
      <c r="C41" s="10" t="str">
        <f>IF(A41&gt;Assumptions!$B$14,"Closed",IF(A41&lt;=Assumptions!$B$12,"Moratorium","Repayment"))</f>
        <v>Repayment</v>
      </c>
      <c r="D41" s="11">
        <f t="shared" si="11"/>
        <v>120.6561345818933</v>
      </c>
      <c r="E41" s="11">
        <f>IF(B41&gt;25,0,INDEX(Assumptions!$B$22:$B$46,B41))</f>
        <v>60</v>
      </c>
      <c r="F41" s="11">
        <f t="shared" si="7"/>
        <v>15</v>
      </c>
      <c r="G41" s="11">
        <f>D41*Assumptions!$B$16</f>
        <v>2.6091889103334425</v>
      </c>
      <c r="H41" s="11">
        <f>F41/Assumptions!$B$11</f>
        <v>10</v>
      </c>
      <c r="I41" s="11">
        <f>IF(OR(A41&lt;=Assumptions!$B$12,A41&gt;Assumptions!$B$14),0,MAX(0,MIN(D41,H41-G41)))</f>
        <v>7.390811089666558</v>
      </c>
      <c r="J41" s="11">
        <f>IF(A41&gt;Assumptions!$B$14,0,MIN(SUMPRODUCT((Assumptions!$B$53:$B$57=A41)*Assumptions!$C$53:$C$57)*Assumptions!$B$50,D41-I41))</f>
        <v>0</v>
      </c>
      <c r="K41" s="11">
        <f t="shared" si="8"/>
        <v>7.390811089666558</v>
      </c>
      <c r="L41" s="11">
        <f t="shared" si="9"/>
        <v>113.26532349222674</v>
      </c>
      <c r="M41" s="12">
        <f>IF(OR(A41&gt;Assumptions!$B$14,(G41+I41)=0),"",F41/(G41+I41))</f>
        <v>1.5</v>
      </c>
      <c r="N41" s="10" t="str">
        <f>IF(A41&gt;Assumptions!$B$14,"Closed",IF(A41&lt;=Assumptions!$B$12,"Moratorium",IF(D41=0,"Closed (Repaid Early)",IF(M41&lt;Assumptions!$B$11-0.005,"BREACH","PASS"))))</f>
        <v>PASS</v>
      </c>
      <c r="O41" s="40">
        <f>1/(1+Assumptions!$B$16)^(A41-Assumptions!$B$12)</f>
        <v>0.49360563210872138</v>
      </c>
      <c r="P41" s="41">
        <f>IF(AND(A41&gt;Assumptions!$B$12,A41&lt;=Assumptions!$B$14),H41*O41,0)</f>
        <v>4.9360563210872135</v>
      </c>
      <c r="Q41" s="41">
        <f t="shared" si="10"/>
        <v>0</v>
      </c>
    </row>
    <row r="42" spans="1:17" ht="15" customHeight="1" x14ac:dyDescent="0.25">
      <c r="A42" s="13">
        <v>36</v>
      </c>
      <c r="B42" s="13">
        <f t="shared" si="6"/>
        <v>9</v>
      </c>
      <c r="C42" s="13" t="str">
        <f>IF(A42&gt;Assumptions!$B$14,"Closed",IF(A42&lt;=Assumptions!$B$12,"Moratorium","Repayment"))</f>
        <v>Repayment</v>
      </c>
      <c r="D42" s="14">
        <f t="shared" si="11"/>
        <v>113.26532349222674</v>
      </c>
      <c r="E42" s="14">
        <f>IF(B42&gt;25,0,INDEX(Assumptions!$B$22:$B$46,B42))</f>
        <v>60</v>
      </c>
      <c r="F42" s="14">
        <f t="shared" si="7"/>
        <v>15</v>
      </c>
      <c r="G42" s="14">
        <f>D42*Assumptions!$B$16</f>
        <v>2.4493626205194032</v>
      </c>
      <c r="H42" s="14">
        <f>F42/Assumptions!$B$11</f>
        <v>10</v>
      </c>
      <c r="I42" s="14">
        <f>IF(OR(A42&lt;=Assumptions!$B$12,A42&gt;Assumptions!$B$14),0,MAX(0,MIN(D42,H42-G42)))</f>
        <v>7.5506373794805963</v>
      </c>
      <c r="J42" s="14">
        <f>IF(A42&gt;Assumptions!$B$14,0,MIN(SUMPRODUCT((Assumptions!$B$53:$B$57=A42)*Assumptions!$C$53:$C$57)*Assumptions!$B$50,D42-I42))</f>
        <v>0</v>
      </c>
      <c r="K42" s="14">
        <f t="shared" si="8"/>
        <v>7.5506373794805963</v>
      </c>
      <c r="L42" s="14">
        <f t="shared" si="9"/>
        <v>105.71468611274615</v>
      </c>
      <c r="M42" s="15">
        <f>IF(OR(A42&gt;Assumptions!$B$14,(G42+I42)=0),"",F42/(G42+I42))</f>
        <v>1.5</v>
      </c>
      <c r="N42" s="13" t="str">
        <f>IF(A42&gt;Assumptions!$B$14,"Closed",IF(A42&lt;=Assumptions!$B$12,"Moratorium",IF(D42=0,"Closed (Repaid Early)",IF(M42&lt;Assumptions!$B$11-0.005,"BREACH","PASS"))))</f>
        <v>PASS</v>
      </c>
      <c r="O42" s="40">
        <f>1/(1+Assumptions!$B$16)^(A42-Assumptions!$B$12)</f>
        <v>0.48315735432151857</v>
      </c>
      <c r="P42" s="41">
        <f>IF(AND(A42&gt;Assumptions!$B$12,A42&lt;=Assumptions!$B$14),H42*O42,0)</f>
        <v>4.8315735432151854</v>
      </c>
      <c r="Q42" s="41">
        <f t="shared" si="10"/>
        <v>0</v>
      </c>
    </row>
    <row r="43" spans="1:17" ht="15" customHeight="1" x14ac:dyDescent="0.25">
      <c r="A43" s="10">
        <v>37</v>
      </c>
      <c r="B43" s="10">
        <f t="shared" si="6"/>
        <v>10</v>
      </c>
      <c r="C43" s="10" t="str">
        <f>IF(A43&gt;Assumptions!$B$14,"Closed",IF(A43&lt;=Assumptions!$B$12,"Moratorium","Repayment"))</f>
        <v>Repayment</v>
      </c>
      <c r="D43" s="11">
        <f t="shared" si="11"/>
        <v>105.71468611274615</v>
      </c>
      <c r="E43" s="11">
        <f>IF(B43&gt;25,0,INDEX(Assumptions!$B$22:$B$46,B43))</f>
        <v>60</v>
      </c>
      <c r="F43" s="11">
        <f t="shared" si="7"/>
        <v>15</v>
      </c>
      <c r="G43" s="11">
        <f>D43*Assumptions!$B$16</f>
        <v>2.2860800871881355</v>
      </c>
      <c r="H43" s="11">
        <f>F43/Assumptions!$B$11</f>
        <v>10</v>
      </c>
      <c r="I43" s="11">
        <f>IF(OR(A43&lt;=Assumptions!$B$12,A43&gt;Assumptions!$B$14),0,MAX(0,MIN(D43,H43-G43)))</f>
        <v>7.7139199128118641</v>
      </c>
      <c r="J43" s="11">
        <f>IF(A43&gt;Assumptions!$B$14,0,MIN(SUMPRODUCT((Assumptions!$B$53:$B$57=A43)*Assumptions!$C$53:$C$57)*Assumptions!$B$50,D43-I43))</f>
        <v>0</v>
      </c>
      <c r="K43" s="11">
        <f t="shared" si="8"/>
        <v>7.7139199128118641</v>
      </c>
      <c r="L43" s="11">
        <f t="shared" si="9"/>
        <v>98.00076619993429</v>
      </c>
      <c r="M43" s="12">
        <f>IF(OR(A43&gt;Assumptions!$B$14,(G43+I43)=0),"",F43/(G43+I43))</f>
        <v>1.5</v>
      </c>
      <c r="N43" s="10" t="str">
        <f>IF(A43&gt;Assumptions!$B$14,"Closed",IF(A43&lt;=Assumptions!$B$12,"Moratorium",IF(D43=0,"Closed (Repaid Early)",IF(M43&lt;Assumptions!$B$11-0.005,"BREACH","PASS"))))</f>
        <v>PASS</v>
      </c>
      <c r="O43" s="40">
        <f>1/(1+Assumptions!$B$16)^(A43-Assumptions!$B$12)</f>
        <v>0.47293023792636113</v>
      </c>
      <c r="P43" s="41">
        <f>IF(AND(A43&gt;Assumptions!$B$12,A43&lt;=Assumptions!$B$14),H43*O43,0)</f>
        <v>4.7293023792636113</v>
      </c>
      <c r="Q43" s="41">
        <f t="shared" si="10"/>
        <v>0</v>
      </c>
    </row>
    <row r="44" spans="1:17" ht="15" customHeight="1" x14ac:dyDescent="0.25">
      <c r="A44" s="13">
        <v>38</v>
      </c>
      <c r="B44" s="13">
        <f t="shared" si="6"/>
        <v>10</v>
      </c>
      <c r="C44" s="13" t="str">
        <f>IF(A44&gt;Assumptions!$B$14,"Closed",IF(A44&lt;=Assumptions!$B$12,"Moratorium","Repayment"))</f>
        <v>Repayment</v>
      </c>
      <c r="D44" s="14">
        <f t="shared" si="11"/>
        <v>98.00076619993429</v>
      </c>
      <c r="E44" s="14">
        <f>IF(B44&gt;25,0,INDEX(Assumptions!$B$22:$B$46,B44))</f>
        <v>60</v>
      </c>
      <c r="F44" s="14">
        <f t="shared" si="7"/>
        <v>15</v>
      </c>
      <c r="G44" s="14">
        <f>D44*Assumptions!$B$16</f>
        <v>2.119266569073579</v>
      </c>
      <c r="H44" s="14">
        <f>F44/Assumptions!$B$11</f>
        <v>10</v>
      </c>
      <c r="I44" s="14">
        <f>IF(OR(A44&lt;=Assumptions!$B$12,A44&gt;Assumptions!$B$14),0,MAX(0,MIN(D44,H44-G44)))</f>
        <v>7.880733430926421</v>
      </c>
      <c r="J44" s="14">
        <f>IF(A44&gt;Assumptions!$B$14,0,MIN(SUMPRODUCT((Assumptions!$B$53:$B$57=A44)*Assumptions!$C$53:$C$57)*Assumptions!$B$50,D44-I44))</f>
        <v>0</v>
      </c>
      <c r="K44" s="14">
        <f t="shared" si="8"/>
        <v>7.880733430926421</v>
      </c>
      <c r="L44" s="14">
        <f t="shared" si="9"/>
        <v>90.120032769007864</v>
      </c>
      <c r="M44" s="15">
        <f>IF(OR(A44&gt;Assumptions!$B$14,(G44+I44)=0),"",F44/(G44+I44))</f>
        <v>1.5</v>
      </c>
      <c r="N44" s="13" t="str">
        <f>IF(A44&gt;Assumptions!$B$14,"Closed",IF(A44&lt;=Assumptions!$B$12,"Moratorium",IF(D44=0,"Closed (Repaid Early)",IF(M44&lt;Assumptions!$B$11-0.005,"BREACH","PASS"))))</f>
        <v>PASS</v>
      </c>
      <c r="O44" s="40">
        <f>1/(1+Assumptions!$B$16)^(A44-Assumptions!$B$12)</f>
        <v>0.46291960154299389</v>
      </c>
      <c r="P44" s="41">
        <f>IF(AND(A44&gt;Assumptions!$B$12,A44&lt;=Assumptions!$B$14),H44*O44,0)</f>
        <v>4.6291960154299385</v>
      </c>
      <c r="Q44" s="41">
        <f t="shared" si="10"/>
        <v>0</v>
      </c>
    </row>
    <row r="45" spans="1:17" ht="15" customHeight="1" x14ac:dyDescent="0.25">
      <c r="A45" s="10">
        <v>39</v>
      </c>
      <c r="B45" s="10">
        <f t="shared" si="6"/>
        <v>10</v>
      </c>
      <c r="C45" s="10" t="str">
        <f>IF(A45&gt;Assumptions!$B$14,"Closed",IF(A45&lt;=Assumptions!$B$12,"Moratorium","Repayment"))</f>
        <v>Repayment</v>
      </c>
      <c r="D45" s="11">
        <f t="shared" si="11"/>
        <v>90.120032769007864</v>
      </c>
      <c r="E45" s="11">
        <f>IF(B45&gt;25,0,INDEX(Assumptions!$B$22:$B$46,B45))</f>
        <v>60</v>
      </c>
      <c r="F45" s="11">
        <f t="shared" si="7"/>
        <v>15</v>
      </c>
      <c r="G45" s="11">
        <f>D45*Assumptions!$B$16</f>
        <v>1.948845708629795</v>
      </c>
      <c r="H45" s="11">
        <f>F45/Assumptions!$B$11</f>
        <v>10</v>
      </c>
      <c r="I45" s="11">
        <f>IF(OR(A45&lt;=Assumptions!$B$12,A45&gt;Assumptions!$B$14),0,MAX(0,MIN(D45,H45-G45)))</f>
        <v>8.0511542913702048</v>
      </c>
      <c r="J45" s="11">
        <f>IF(A45&gt;Assumptions!$B$14,0,MIN(SUMPRODUCT((Assumptions!$B$53:$B$57=A45)*Assumptions!$C$53:$C$57)*Assumptions!$B$50,D45-I45))</f>
        <v>0</v>
      </c>
      <c r="K45" s="11">
        <f t="shared" si="8"/>
        <v>8.0511542913702048</v>
      </c>
      <c r="L45" s="11">
        <f t="shared" si="9"/>
        <v>82.068878477637654</v>
      </c>
      <c r="M45" s="12">
        <f>IF(OR(A45&gt;Assumptions!$B$14,(G45+I45)=0),"",F45/(G45+I45))</f>
        <v>1.5</v>
      </c>
      <c r="N45" s="10" t="str">
        <f>IF(A45&gt;Assumptions!$B$14,"Closed",IF(A45&lt;=Assumptions!$B$12,"Moratorium",IF(D45=0,"Closed (Repaid Early)",IF(M45&lt;Assumptions!$B$11-0.005,"BREACH","PASS"))))</f>
        <v>PASS</v>
      </c>
      <c r="O45" s="40">
        <f>1/(1+Assumptions!$B$16)^(A45-Assumptions!$B$12)</f>
        <v>0.45312086288314579</v>
      </c>
      <c r="P45" s="41">
        <f>IF(AND(A45&gt;Assumptions!$B$12,A45&lt;=Assumptions!$B$14),H45*O45,0)</f>
        <v>4.5312086288314575</v>
      </c>
      <c r="Q45" s="41">
        <f t="shared" si="10"/>
        <v>0</v>
      </c>
    </row>
    <row r="46" spans="1:17" ht="15" customHeight="1" x14ac:dyDescent="0.25">
      <c r="A46" s="13">
        <v>40</v>
      </c>
      <c r="B46" s="13">
        <f t="shared" si="6"/>
        <v>10</v>
      </c>
      <c r="C46" s="13" t="str">
        <f>IF(A46&gt;Assumptions!$B$14,"Closed",IF(A46&lt;=Assumptions!$B$12,"Moratorium","Repayment"))</f>
        <v>Repayment</v>
      </c>
      <c r="D46" s="14">
        <f t="shared" si="11"/>
        <v>82.068878477637654</v>
      </c>
      <c r="E46" s="14">
        <f>IF(B46&gt;25,0,INDEX(Assumptions!$B$22:$B$46,B46))</f>
        <v>60</v>
      </c>
      <c r="F46" s="14">
        <f t="shared" si="7"/>
        <v>15</v>
      </c>
      <c r="G46" s="14">
        <f>D46*Assumptions!$B$16</f>
        <v>1.7747394970789141</v>
      </c>
      <c r="H46" s="14">
        <f>F46/Assumptions!$B$11</f>
        <v>10</v>
      </c>
      <c r="I46" s="14">
        <f>IF(OR(A46&lt;=Assumptions!$B$12,A46&gt;Assumptions!$B$14),0,MAX(0,MIN(D46,H46-G46)))</f>
        <v>8.2252605029210866</v>
      </c>
      <c r="J46" s="14">
        <f>IF(A46&gt;Assumptions!$B$14,0,MIN(SUMPRODUCT((Assumptions!$B$53:$B$57=A46)*Assumptions!$C$53:$C$57)*Assumptions!$B$50,D46-I46))</f>
        <v>0</v>
      </c>
      <c r="K46" s="14">
        <f t="shared" si="8"/>
        <v>8.2252605029210866</v>
      </c>
      <c r="L46" s="14">
        <f t="shared" si="9"/>
        <v>73.843617974716565</v>
      </c>
      <c r="M46" s="15">
        <f>IF(OR(A46&gt;Assumptions!$B$14,(G46+I46)=0),"",F46/(G46+I46))</f>
        <v>1.5</v>
      </c>
      <c r="N46" s="13" t="str">
        <f>IF(A46&gt;Assumptions!$B$14,"Closed",IF(A46&lt;=Assumptions!$B$12,"Moratorium",IF(D46=0,"Closed (Repaid Early)",IF(M46&lt;Assumptions!$B$11-0.005,"BREACH","PASS"))))</f>
        <v>PASS</v>
      </c>
      <c r="O46" s="40">
        <f>1/(1+Assumptions!$B$16)^(A46-Assumptions!$B$12)</f>
        <v>0.44352953665302425</v>
      </c>
      <c r="P46" s="41">
        <f>IF(AND(A46&gt;Assumptions!$B$12,A46&lt;=Assumptions!$B$14),H46*O46,0)</f>
        <v>4.4352953665302426</v>
      </c>
      <c r="Q46" s="41">
        <f t="shared" si="10"/>
        <v>0</v>
      </c>
    </row>
    <row r="47" spans="1:17" ht="15" customHeight="1" x14ac:dyDescent="0.25">
      <c r="A47" s="10">
        <v>41</v>
      </c>
      <c r="B47" s="10">
        <f t="shared" si="6"/>
        <v>11</v>
      </c>
      <c r="C47" s="10" t="str">
        <f>IF(A47&gt;Assumptions!$B$14,"Closed",IF(A47&lt;=Assumptions!$B$12,"Moratorium","Repayment"))</f>
        <v>Repayment</v>
      </c>
      <c r="D47" s="11">
        <f t="shared" si="11"/>
        <v>73.843617974716565</v>
      </c>
      <c r="E47" s="11">
        <f>IF(B47&gt;25,0,INDEX(Assumptions!$B$22:$B$46,B47))</f>
        <v>60</v>
      </c>
      <c r="F47" s="11">
        <f t="shared" si="7"/>
        <v>15</v>
      </c>
      <c r="G47" s="11">
        <f>D47*Assumptions!$B$16</f>
        <v>1.5968682387032456</v>
      </c>
      <c r="H47" s="11">
        <f>F47/Assumptions!$B$11</f>
        <v>10</v>
      </c>
      <c r="I47" s="11">
        <f>IF(OR(A47&lt;=Assumptions!$B$12,A47&gt;Assumptions!$B$14),0,MAX(0,MIN(D47,H47-G47)))</f>
        <v>8.4031317612967538</v>
      </c>
      <c r="J47" s="11">
        <f>IF(A47&gt;Assumptions!$B$14,0,MIN(SUMPRODUCT((Assumptions!$B$53:$B$57=A47)*Assumptions!$C$53:$C$57)*Assumptions!$B$50,D47-I47))</f>
        <v>0</v>
      </c>
      <c r="K47" s="11">
        <f t="shared" si="8"/>
        <v>8.4031317612967538</v>
      </c>
      <c r="L47" s="11">
        <f t="shared" si="9"/>
        <v>65.440486213419817</v>
      </c>
      <c r="M47" s="12">
        <f>IF(OR(A47&gt;Assumptions!$B$14,(G47+I47)=0),"",F47/(G47+I47))</f>
        <v>1.5</v>
      </c>
      <c r="N47" s="10" t="str">
        <f>IF(A47&gt;Assumptions!$B$14,"Closed",IF(A47&lt;=Assumptions!$B$12,"Moratorium",IF(D47=0,"Closed (Repaid Early)",IF(M47&lt;Assumptions!$B$11-0.005,"BREACH","PASS"))))</f>
        <v>PASS</v>
      </c>
      <c r="O47" s="40">
        <f>1/(1+Assumptions!$B$16)^(A47-Assumptions!$B$12)</f>
        <v>0.43414123250020725</v>
      </c>
      <c r="P47" s="41">
        <f>IF(AND(A47&gt;Assumptions!$B$12,A47&lt;=Assumptions!$B$14),H47*O47,0)</f>
        <v>4.3414123250020724</v>
      </c>
      <c r="Q47" s="41">
        <f t="shared" si="10"/>
        <v>0</v>
      </c>
    </row>
    <row r="48" spans="1:17" ht="15" customHeight="1" x14ac:dyDescent="0.25">
      <c r="A48" s="13">
        <v>42</v>
      </c>
      <c r="B48" s="13">
        <f t="shared" si="6"/>
        <v>11</v>
      </c>
      <c r="C48" s="13" t="str">
        <f>IF(A48&gt;Assumptions!$B$14,"Closed",IF(A48&lt;=Assumptions!$B$12,"Moratorium","Repayment"))</f>
        <v>Repayment</v>
      </c>
      <c r="D48" s="14">
        <f t="shared" si="11"/>
        <v>65.440486213419817</v>
      </c>
      <c r="E48" s="14">
        <f>IF(B48&gt;25,0,INDEX(Assumptions!$B$22:$B$46,B48))</f>
        <v>60</v>
      </c>
      <c r="F48" s="14">
        <f t="shared" si="7"/>
        <v>15</v>
      </c>
      <c r="G48" s="14">
        <f>D48*Assumptions!$B$16</f>
        <v>1.4151505143652034</v>
      </c>
      <c r="H48" s="14">
        <f>F48/Assumptions!$B$11</f>
        <v>10</v>
      </c>
      <c r="I48" s="14">
        <f>IF(OR(A48&lt;=Assumptions!$B$12,A48&gt;Assumptions!$B$14),0,MAX(0,MIN(D48,H48-G48)))</f>
        <v>8.5848494856347966</v>
      </c>
      <c r="J48" s="14">
        <f>IF(A48&gt;Assumptions!$B$14,0,MIN(SUMPRODUCT((Assumptions!$B$53:$B$57=A48)*Assumptions!$C$53:$C$57)*Assumptions!$B$50,D48-I48))</f>
        <v>0</v>
      </c>
      <c r="K48" s="14">
        <f t="shared" si="8"/>
        <v>8.5848494856347966</v>
      </c>
      <c r="L48" s="14">
        <f t="shared" si="9"/>
        <v>56.855636727785019</v>
      </c>
      <c r="M48" s="15">
        <f>IF(OR(A48&gt;Assumptions!$B$14,(G48+I48)=0),"",F48/(G48+I48))</f>
        <v>1.5</v>
      </c>
      <c r="N48" s="13" t="str">
        <f>IF(A48&gt;Assumptions!$B$14,"Closed",IF(A48&lt;=Assumptions!$B$12,"Moratorium",IF(D48=0,"Closed (Repaid Early)",IF(M48&lt;Assumptions!$B$11-0.005,"BREACH","PASS"))))</f>
        <v>PASS</v>
      </c>
      <c r="O48" s="40">
        <f>1/(1+Assumptions!$B$16)^(A48-Assumptions!$B$12)</f>
        <v>0.42495165300399584</v>
      </c>
      <c r="P48" s="41">
        <f>IF(AND(A48&gt;Assumptions!$B$12,A48&lt;=Assumptions!$B$14),H48*O48,0)</f>
        <v>4.2495165300399584</v>
      </c>
      <c r="Q48" s="41">
        <f t="shared" si="10"/>
        <v>0</v>
      </c>
    </row>
    <row r="49" spans="1:17" ht="15" customHeight="1" x14ac:dyDescent="0.25">
      <c r="A49" s="10">
        <v>43</v>
      </c>
      <c r="B49" s="10">
        <f t="shared" si="6"/>
        <v>11</v>
      </c>
      <c r="C49" s="10" t="str">
        <f>IF(A49&gt;Assumptions!$B$14,"Closed",IF(A49&lt;=Assumptions!$B$12,"Moratorium","Repayment"))</f>
        <v>Repayment</v>
      </c>
      <c r="D49" s="11">
        <f t="shared" si="11"/>
        <v>56.855636727785019</v>
      </c>
      <c r="E49" s="11">
        <f>IF(B49&gt;25,0,INDEX(Assumptions!$B$22:$B$46,B49))</f>
        <v>60</v>
      </c>
      <c r="F49" s="11">
        <f t="shared" si="7"/>
        <v>15</v>
      </c>
      <c r="G49" s="11">
        <f>D49*Assumptions!$B$16</f>
        <v>1.2295031442383508</v>
      </c>
      <c r="H49" s="11">
        <f>F49/Assumptions!$B$11</f>
        <v>10</v>
      </c>
      <c r="I49" s="11">
        <f>IF(OR(A49&lt;=Assumptions!$B$12,A49&gt;Assumptions!$B$14),0,MAX(0,MIN(D49,H49-G49)))</f>
        <v>8.7704968557616496</v>
      </c>
      <c r="J49" s="11">
        <f>IF(A49&gt;Assumptions!$B$14,0,MIN(SUMPRODUCT((Assumptions!$B$53:$B$57=A49)*Assumptions!$C$53:$C$57)*Assumptions!$B$50,D49-I49))</f>
        <v>0</v>
      </c>
      <c r="K49" s="11">
        <f t="shared" si="8"/>
        <v>8.7704968557616496</v>
      </c>
      <c r="L49" s="11">
        <f t="shared" si="9"/>
        <v>48.085139872023369</v>
      </c>
      <c r="M49" s="12">
        <f>IF(OR(A49&gt;Assumptions!$B$14,(G49+I49)=0),"",F49/(G49+I49))</f>
        <v>1.5</v>
      </c>
      <c r="N49" s="10" t="str">
        <f>IF(A49&gt;Assumptions!$B$14,"Closed",IF(A49&lt;=Assumptions!$B$12,"Moratorium",IF(D49=0,"Closed (Repaid Early)",IF(M49&lt;Assumptions!$B$11-0.005,"BREACH","PASS"))))</f>
        <v>PASS</v>
      </c>
      <c r="O49" s="40">
        <f>1/(1+Assumptions!$B$16)^(A49-Assumptions!$B$12)</f>
        <v>0.41595659170830379</v>
      </c>
      <c r="P49" s="41">
        <f>IF(AND(A49&gt;Assumptions!$B$12,A49&lt;=Assumptions!$B$14),H49*O49,0)</f>
        <v>4.1595659170830377</v>
      </c>
      <c r="Q49" s="41">
        <f t="shared" si="10"/>
        <v>0</v>
      </c>
    </row>
    <row r="50" spans="1:17" ht="15" customHeight="1" x14ac:dyDescent="0.25">
      <c r="A50" s="13">
        <v>44</v>
      </c>
      <c r="B50" s="13">
        <f t="shared" si="6"/>
        <v>11</v>
      </c>
      <c r="C50" s="13" t="str">
        <f>IF(A50&gt;Assumptions!$B$14,"Closed",IF(A50&lt;=Assumptions!$B$12,"Moratorium","Repayment"))</f>
        <v>Repayment</v>
      </c>
      <c r="D50" s="14">
        <f t="shared" si="11"/>
        <v>48.085139872023369</v>
      </c>
      <c r="E50" s="14">
        <f>IF(B50&gt;25,0,INDEX(Assumptions!$B$22:$B$46,B50))</f>
        <v>60</v>
      </c>
      <c r="F50" s="14">
        <f t="shared" si="7"/>
        <v>15</v>
      </c>
      <c r="G50" s="14">
        <f>D50*Assumptions!$B$16</f>
        <v>1.0398411497325053</v>
      </c>
      <c r="H50" s="14">
        <f>F50/Assumptions!$B$11</f>
        <v>10</v>
      </c>
      <c r="I50" s="14">
        <f>IF(OR(A50&lt;=Assumptions!$B$12,A50&gt;Assumptions!$B$14),0,MAX(0,MIN(D50,H50-G50)))</f>
        <v>8.9601588502674954</v>
      </c>
      <c r="J50" s="14">
        <f>IF(A50&gt;Assumptions!$B$14,0,MIN(SUMPRODUCT((Assumptions!$B$53:$B$57=A50)*Assumptions!$C$53:$C$57)*Assumptions!$B$50,D50-I50))</f>
        <v>0</v>
      </c>
      <c r="K50" s="14">
        <f t="shared" si="8"/>
        <v>8.9601588502674954</v>
      </c>
      <c r="L50" s="14">
        <f t="shared" si="9"/>
        <v>39.124981021755872</v>
      </c>
      <c r="M50" s="15">
        <f>IF(OR(A50&gt;Assumptions!$B$14,(G50+I50)=0),"",F50/(G50+I50))</f>
        <v>1.5</v>
      </c>
      <c r="N50" s="13" t="str">
        <f>IF(A50&gt;Assumptions!$B$14,"Closed",IF(A50&lt;=Assumptions!$B$12,"Moratorium",IF(D50=0,"Closed (Repaid Early)",IF(M50&lt;Assumptions!$B$11-0.005,"BREACH","PASS"))))</f>
        <v>PASS</v>
      </c>
      <c r="O50" s="40">
        <f>1/(1+Assumptions!$B$16)^(A50-Assumptions!$B$12)</f>
        <v>0.40715193119618626</v>
      </c>
      <c r="P50" s="41">
        <f>IF(AND(A50&gt;Assumptions!$B$12,A50&lt;=Assumptions!$B$14),H50*O50,0)</f>
        <v>4.0715193119618629</v>
      </c>
      <c r="Q50" s="41">
        <f t="shared" si="10"/>
        <v>0</v>
      </c>
    </row>
    <row r="51" spans="1:17" ht="15" customHeight="1" x14ac:dyDescent="0.25">
      <c r="A51" s="10">
        <v>45</v>
      </c>
      <c r="B51" s="10">
        <f t="shared" si="6"/>
        <v>12</v>
      </c>
      <c r="C51" s="10" t="str">
        <f>IF(A51&gt;Assumptions!$B$14,"Closed",IF(A51&lt;=Assumptions!$B$12,"Moratorium","Repayment"))</f>
        <v>Repayment</v>
      </c>
      <c r="D51" s="11">
        <f t="shared" si="11"/>
        <v>39.124981021755872</v>
      </c>
      <c r="E51" s="11">
        <f>IF(B51&gt;25,0,INDEX(Assumptions!$B$22:$B$46,B51))</f>
        <v>60</v>
      </c>
      <c r="F51" s="11">
        <f t="shared" si="7"/>
        <v>15</v>
      </c>
      <c r="G51" s="11">
        <f>D51*Assumptions!$B$16</f>
        <v>0.84607771459547065</v>
      </c>
      <c r="H51" s="11">
        <f>F51/Assumptions!$B$11</f>
        <v>10</v>
      </c>
      <c r="I51" s="11">
        <f>IF(OR(A51&lt;=Assumptions!$B$12,A51&gt;Assumptions!$B$14),0,MAX(0,MIN(D51,H51-G51)))</f>
        <v>9.1539222854045299</v>
      </c>
      <c r="J51" s="11">
        <f>IF(A51&gt;Assumptions!$B$14,0,MIN(SUMPRODUCT((Assumptions!$B$53:$B$57=A51)*Assumptions!$C$53:$C$57)*Assumptions!$B$50,D51-I51))</f>
        <v>0</v>
      </c>
      <c r="K51" s="11">
        <f t="shared" si="8"/>
        <v>9.1539222854045299</v>
      </c>
      <c r="L51" s="11">
        <f t="shared" si="9"/>
        <v>29.971058736351342</v>
      </c>
      <c r="M51" s="12">
        <f>IF(OR(A51&gt;Assumptions!$B$14,(G51+I51)=0),"",F51/(G51+I51))</f>
        <v>1.5</v>
      </c>
      <c r="N51" s="10" t="str">
        <f>IF(A51&gt;Assumptions!$B$14,"Closed",IF(A51&lt;=Assumptions!$B$12,"Moratorium",IF(D51=0,"Closed (Repaid Early)",IF(M51&lt;Assumptions!$B$11-0.005,"BREACH","PASS"))))</f>
        <v>PASS</v>
      </c>
      <c r="O51" s="40">
        <f>1/(1+Assumptions!$B$16)^(A51-Assumptions!$B$12)</f>
        <v>0.39853364120512541</v>
      </c>
      <c r="P51" s="41">
        <f>IF(AND(A51&gt;Assumptions!$B$12,A51&lt;=Assumptions!$B$14),H51*O51,0)</f>
        <v>3.9853364120512542</v>
      </c>
      <c r="Q51" s="41">
        <f t="shared" si="10"/>
        <v>0</v>
      </c>
    </row>
    <row r="52" spans="1:17" ht="15" customHeight="1" x14ac:dyDescent="0.25">
      <c r="A52" s="13">
        <v>46</v>
      </c>
      <c r="B52" s="13">
        <f t="shared" si="6"/>
        <v>12</v>
      </c>
      <c r="C52" s="13" t="str">
        <f>IF(A52&gt;Assumptions!$B$14,"Closed",IF(A52&lt;=Assumptions!$B$12,"Moratorium","Repayment"))</f>
        <v>Repayment</v>
      </c>
      <c r="D52" s="14">
        <f t="shared" si="11"/>
        <v>29.971058736351342</v>
      </c>
      <c r="E52" s="14">
        <f>IF(B52&gt;25,0,INDEX(Assumptions!$B$22:$B$46,B52))</f>
        <v>60</v>
      </c>
      <c r="F52" s="14">
        <f t="shared" si="7"/>
        <v>15</v>
      </c>
      <c r="G52" s="14">
        <f>D52*Assumptions!$B$16</f>
        <v>0.64812414517359773</v>
      </c>
      <c r="H52" s="14">
        <f>F52/Assumptions!$B$11</f>
        <v>10</v>
      </c>
      <c r="I52" s="14">
        <f>IF(OR(A52&lt;=Assumptions!$B$12,A52&gt;Assumptions!$B$14),0,MAX(0,MIN(D52,H52-G52)))</f>
        <v>9.3518758548264032</v>
      </c>
      <c r="J52" s="14">
        <f>IF(A52&gt;Assumptions!$B$14,0,MIN(SUMPRODUCT((Assumptions!$B$53:$B$57=A52)*Assumptions!$C$53:$C$57)*Assumptions!$B$50,D52-I52))</f>
        <v>0</v>
      </c>
      <c r="K52" s="14">
        <f t="shared" si="8"/>
        <v>9.3518758548264032</v>
      </c>
      <c r="L52" s="14">
        <f t="shared" si="9"/>
        <v>20.619182881524939</v>
      </c>
      <c r="M52" s="15">
        <f>IF(OR(A52&gt;Assumptions!$B$14,(G52+I52)=0),"",F52/(G52+I52))</f>
        <v>1.5</v>
      </c>
      <c r="N52" s="13" t="str">
        <f>IF(A52&gt;Assumptions!$B$14,"Closed",IF(A52&lt;=Assumptions!$B$12,"Moratorium",IF(D52=0,"Closed (Repaid Early)",IF(M52&lt;Assumptions!$B$11-0.005,"BREACH","PASS"))))</f>
        <v>PASS</v>
      </c>
      <c r="O52" s="40">
        <f>1/(1+Assumptions!$B$16)^(A52-Assumptions!$B$12)</f>
        <v>0.39009777678221014</v>
      </c>
      <c r="P52" s="41">
        <f>IF(AND(A52&gt;Assumptions!$B$12,A52&lt;=Assumptions!$B$14),H52*O52,0)</f>
        <v>3.9009777678221011</v>
      </c>
      <c r="Q52" s="41">
        <f t="shared" si="10"/>
        <v>0</v>
      </c>
    </row>
    <row r="53" spans="1:17" ht="15" customHeight="1" x14ac:dyDescent="0.25">
      <c r="A53" s="10">
        <v>47</v>
      </c>
      <c r="B53" s="10">
        <f t="shared" si="6"/>
        <v>12</v>
      </c>
      <c r="C53" s="10" t="str">
        <f>IF(A53&gt;Assumptions!$B$14,"Closed",IF(A53&lt;=Assumptions!$B$12,"Moratorium","Repayment"))</f>
        <v>Repayment</v>
      </c>
      <c r="D53" s="11">
        <f t="shared" si="11"/>
        <v>20.619182881524939</v>
      </c>
      <c r="E53" s="11">
        <f>IF(B53&gt;25,0,INDEX(Assumptions!$B$22:$B$46,B53))</f>
        <v>60</v>
      </c>
      <c r="F53" s="11">
        <f t="shared" si="7"/>
        <v>15</v>
      </c>
      <c r="G53" s="11">
        <f>D53*Assumptions!$B$16</f>
        <v>0.44588982981297676</v>
      </c>
      <c r="H53" s="11">
        <f>F53/Assumptions!$B$11</f>
        <v>10</v>
      </c>
      <c r="I53" s="11">
        <f>IF(OR(A53&lt;=Assumptions!$B$12,A53&gt;Assumptions!$B$14),0,MAX(0,MIN(D53,H53-G53)))</f>
        <v>9.5541101701870232</v>
      </c>
      <c r="J53" s="11">
        <f>IF(A53&gt;Assumptions!$B$14,0,MIN(SUMPRODUCT((Assumptions!$B$53:$B$57=A53)*Assumptions!$C$53:$C$57)*Assumptions!$B$50,D53-I53))</f>
        <v>0</v>
      </c>
      <c r="K53" s="11">
        <f t="shared" si="8"/>
        <v>9.5541101701870232</v>
      </c>
      <c r="L53" s="11">
        <f t="shared" si="9"/>
        <v>11.065072711337915</v>
      </c>
      <c r="M53" s="12">
        <f>IF(OR(A53&gt;Assumptions!$B$14,(G53+I53)=0),"",F53/(G53+I53))</f>
        <v>1.5</v>
      </c>
      <c r="N53" s="10" t="str">
        <f>IF(A53&gt;Assumptions!$B$14,"Closed",IF(A53&lt;=Assumptions!$B$12,"Moratorium",IF(D53=0,"Closed (Repaid Early)",IF(M53&lt;Assumptions!$B$11-0.005,"BREACH","PASS"))))</f>
        <v>PASS</v>
      </c>
      <c r="O53" s="40">
        <f>1/(1+Assumptions!$B$16)^(A53-Assumptions!$B$12)</f>
        <v>0.3818404764783655</v>
      </c>
      <c r="P53" s="41">
        <f>IF(AND(A53&gt;Assumptions!$B$12,A53&lt;=Assumptions!$B$14),H53*O53,0)</f>
        <v>3.8184047647836552</v>
      </c>
      <c r="Q53" s="41">
        <f t="shared" si="10"/>
        <v>0</v>
      </c>
    </row>
    <row r="54" spans="1:17" ht="15" customHeight="1" x14ac:dyDescent="0.25">
      <c r="A54" s="13">
        <v>48</v>
      </c>
      <c r="B54" s="13">
        <f t="shared" si="6"/>
        <v>12</v>
      </c>
      <c r="C54" s="13" t="str">
        <f>IF(A54&gt;Assumptions!$B$14,"Closed",IF(A54&lt;=Assumptions!$B$12,"Moratorium","Repayment"))</f>
        <v>Repayment</v>
      </c>
      <c r="D54" s="14">
        <f t="shared" si="11"/>
        <v>11.065072711337915</v>
      </c>
      <c r="E54" s="14">
        <f>IF(B54&gt;25,0,INDEX(Assumptions!$B$22:$B$46,B54))</f>
        <v>60</v>
      </c>
      <c r="F54" s="14">
        <f t="shared" si="7"/>
        <v>15</v>
      </c>
      <c r="G54" s="14">
        <f>D54*Assumptions!$B$16</f>
        <v>0.23928219738268242</v>
      </c>
      <c r="H54" s="14">
        <f>F54/Assumptions!$B$11</f>
        <v>10</v>
      </c>
      <c r="I54" s="14">
        <f>IF(OR(A54&lt;=Assumptions!$B$12,A54&gt;Assumptions!$B$14),0,MAX(0,MIN(D54,H54-G54)))</f>
        <v>9.760717802617318</v>
      </c>
      <c r="J54" s="14">
        <f>IF(A54&gt;Assumptions!$B$14,0,MIN(SUMPRODUCT((Assumptions!$B$53:$B$57=A54)*Assumptions!$C$53:$C$57)*Assumptions!$B$50,D54-I54))</f>
        <v>0</v>
      </c>
      <c r="K54" s="14">
        <f t="shared" si="8"/>
        <v>9.760717802617318</v>
      </c>
      <c r="L54" s="14">
        <f t="shared" si="9"/>
        <v>1.3043549087205975</v>
      </c>
      <c r="M54" s="15">
        <f>IF(OR(A54&gt;Assumptions!$B$14,(G54+I54)=0),"",F54/(G54+I54))</f>
        <v>1.5</v>
      </c>
      <c r="N54" s="13" t="str">
        <f>IF(A54&gt;Assumptions!$B$14,"Closed",IF(A54&lt;=Assumptions!$B$12,"Moratorium",IF(D54=0,"Closed (Repaid Early)",IF(M54&lt;Assumptions!$B$11-0.005,"BREACH","PASS"))))</f>
        <v>PASS</v>
      </c>
      <c r="O54" s="40">
        <f>1/(1+Assumptions!$B$16)^(A54-Assumptions!$B$12)</f>
        <v>0.37375796058080563</v>
      </c>
      <c r="P54" s="41">
        <f>IF(AND(A54&gt;Assumptions!$B$12,A54&lt;=Assumptions!$B$14),H54*O54,0)</f>
        <v>3.7375796058080564</v>
      </c>
      <c r="Q54" s="41">
        <f t="shared" si="10"/>
        <v>0</v>
      </c>
    </row>
    <row r="55" spans="1:17" ht="15" customHeight="1" x14ac:dyDescent="0.25">
      <c r="A55" s="10">
        <v>49</v>
      </c>
      <c r="B55" s="10">
        <f t="shared" si="6"/>
        <v>13</v>
      </c>
      <c r="C55" s="10" t="str">
        <f>IF(A55&gt;Assumptions!$B$14,"Closed",IF(A55&lt;=Assumptions!$B$12,"Moratorium","Repayment"))</f>
        <v>Repayment</v>
      </c>
      <c r="D55" s="11">
        <f t="shared" si="11"/>
        <v>1.3043549087205975</v>
      </c>
      <c r="E55" s="11">
        <f>IF(B55&gt;25,0,INDEX(Assumptions!$B$22:$B$46,B55))</f>
        <v>60</v>
      </c>
      <c r="F55" s="11">
        <f t="shared" si="7"/>
        <v>15</v>
      </c>
      <c r="G55" s="11">
        <f>D55*Assumptions!$B$16</f>
        <v>2.8206674901082918E-2</v>
      </c>
      <c r="H55" s="11">
        <f>F55/Assumptions!$B$11</f>
        <v>10</v>
      </c>
      <c r="I55" s="11">
        <f>IF(OR(A55&lt;=Assumptions!$B$12,A55&gt;Assumptions!$B$14),0,MAX(0,MIN(D55,H55-G55)))</f>
        <v>1.3043549087205975</v>
      </c>
      <c r="J55" s="11">
        <f>IF(A55&gt;Assumptions!$B$14,0,MIN(SUMPRODUCT((Assumptions!$B$53:$B$57=A55)*Assumptions!$C$53:$C$57)*Assumptions!$B$50,D55-I55))</f>
        <v>0</v>
      </c>
      <c r="K55" s="11">
        <f t="shared" si="8"/>
        <v>1.3043549087205975</v>
      </c>
      <c r="L55" s="11">
        <f t="shared" si="9"/>
        <v>0</v>
      </c>
      <c r="M55" s="12">
        <f>IF(OR(A55&gt;Assumptions!$B$14,(G55+I55)=0),"",F55/(G55+I55))</f>
        <v>11.25651540939106</v>
      </c>
      <c r="N55" s="10" t="str">
        <f>IF(A55&gt;Assumptions!$B$14,"Closed",IF(A55&lt;=Assumptions!$B$12,"Moratorium",IF(D55=0,"Closed (Repaid Early)",IF(M55&lt;Assumptions!$B$11-0.005,"BREACH","PASS"))))</f>
        <v>PASS</v>
      </c>
      <c r="O55" s="40">
        <f>1/(1+Assumptions!$B$16)^(A55-Assumptions!$B$12)</f>
        <v>0.36584652938290041</v>
      </c>
      <c r="P55" s="41">
        <f>IF(AND(A55&gt;Assumptions!$B$12,A55&lt;=Assumptions!$B$14),H55*O55,0)</f>
        <v>3.6584652938290043</v>
      </c>
      <c r="Q55" s="41">
        <f t="shared" si="10"/>
        <v>0</v>
      </c>
    </row>
    <row r="56" spans="1:17" ht="15" customHeight="1" x14ac:dyDescent="0.25">
      <c r="A56" s="13">
        <v>50</v>
      </c>
      <c r="B56" s="13">
        <f t="shared" si="6"/>
        <v>13</v>
      </c>
      <c r="C56" s="13" t="str">
        <f>IF(A56&gt;Assumptions!$B$14,"Closed",IF(A56&lt;=Assumptions!$B$12,"Moratorium","Repayment"))</f>
        <v>Repayment</v>
      </c>
      <c r="D56" s="14">
        <f t="shared" si="11"/>
        <v>0</v>
      </c>
      <c r="E56" s="14">
        <f>IF(B56&gt;25,0,INDEX(Assumptions!$B$22:$B$46,B56))</f>
        <v>60</v>
      </c>
      <c r="F56" s="14">
        <f t="shared" si="7"/>
        <v>15</v>
      </c>
      <c r="G56" s="14">
        <f>D56*Assumptions!$B$16</f>
        <v>0</v>
      </c>
      <c r="H56" s="14">
        <f>F56/Assumptions!$B$11</f>
        <v>10</v>
      </c>
      <c r="I56" s="14">
        <f>IF(OR(A56&lt;=Assumptions!$B$12,A56&gt;Assumptions!$B$14),0,MAX(0,MIN(D56,H56-G56)))</f>
        <v>0</v>
      </c>
      <c r="J56" s="14">
        <f>IF(A56&gt;Assumptions!$B$14,0,MIN(SUMPRODUCT((Assumptions!$B$53:$B$57=A56)*Assumptions!$C$53:$C$57)*Assumptions!$B$50,D56-I56))</f>
        <v>0</v>
      </c>
      <c r="K56" s="14">
        <f t="shared" si="8"/>
        <v>0</v>
      </c>
      <c r="L56" s="14">
        <f t="shared" si="9"/>
        <v>0</v>
      </c>
      <c r="M56" s="15" t="str">
        <f>IF(OR(A56&gt;Assumptions!$B$14,(G56+I56)=0),"",F56/(G56+I56))</f>
        <v/>
      </c>
      <c r="N56" s="13" t="str">
        <f>IF(A56&gt;Assumptions!$B$14,"Closed",IF(A56&lt;=Assumptions!$B$12,"Moratorium",IF(D56=0,"Closed (Repaid Early)",IF(M56&lt;Assumptions!$B$11-0.005,"BREACH","PASS"))))</f>
        <v>Closed (Repaid Early)</v>
      </c>
      <c r="O56" s="40">
        <f>1/(1+Assumptions!$B$16)^(A56-Assumptions!$B$12)</f>
        <v>0.35810256149066483</v>
      </c>
      <c r="P56" s="41">
        <f>IF(AND(A56&gt;Assumptions!$B$12,A56&lt;=Assumptions!$B$14),H56*O56,0)</f>
        <v>3.5810256149066482</v>
      </c>
      <c r="Q56" s="41">
        <f t="shared" si="10"/>
        <v>0</v>
      </c>
    </row>
    <row r="57" spans="1:17" ht="15" customHeight="1" x14ac:dyDescent="0.25">
      <c r="A57" s="10">
        <v>51</v>
      </c>
      <c r="B57" s="10">
        <f t="shared" si="6"/>
        <v>13</v>
      </c>
      <c r="C57" s="10" t="str">
        <f>IF(A57&gt;Assumptions!$B$14,"Closed",IF(A57&lt;=Assumptions!$B$12,"Moratorium","Repayment"))</f>
        <v>Repayment</v>
      </c>
      <c r="D57" s="11">
        <f t="shared" si="11"/>
        <v>0</v>
      </c>
      <c r="E57" s="11">
        <f>IF(B57&gt;25,0,INDEX(Assumptions!$B$22:$B$46,B57))</f>
        <v>60</v>
      </c>
      <c r="F57" s="11">
        <f t="shared" si="7"/>
        <v>15</v>
      </c>
      <c r="G57" s="11">
        <f>D57*Assumptions!$B$16</f>
        <v>0</v>
      </c>
      <c r="H57" s="11">
        <f>F57/Assumptions!$B$11</f>
        <v>10</v>
      </c>
      <c r="I57" s="11">
        <f>IF(OR(A57&lt;=Assumptions!$B$12,A57&gt;Assumptions!$B$14),0,MAX(0,MIN(D57,H57-G57)))</f>
        <v>0</v>
      </c>
      <c r="J57" s="11">
        <f>IF(A57&gt;Assumptions!$B$14,0,MIN(SUMPRODUCT((Assumptions!$B$53:$B$57=A57)*Assumptions!$C$53:$C$57)*Assumptions!$B$50,D57-I57))</f>
        <v>0</v>
      </c>
      <c r="K57" s="11">
        <f t="shared" si="8"/>
        <v>0</v>
      </c>
      <c r="L57" s="11">
        <f t="shared" si="9"/>
        <v>0</v>
      </c>
      <c r="M57" s="12" t="str">
        <f>IF(OR(A57&gt;Assumptions!$B$14,(G57+I57)=0),"",F57/(G57+I57))</f>
        <v/>
      </c>
      <c r="N57" s="10" t="str">
        <f>IF(A57&gt;Assumptions!$B$14,"Closed",IF(A57&lt;=Assumptions!$B$12,"Moratorium",IF(D57=0,"Closed (Repaid Early)",IF(M57&lt;Assumptions!$B$11-0.005,"BREACH","PASS"))))</f>
        <v>Closed (Repaid Early)</v>
      </c>
      <c r="O57" s="40">
        <f>1/(1+Assumptions!$B$16)^(A57-Assumptions!$B$12)</f>
        <v>0.35052251216509461</v>
      </c>
      <c r="P57" s="41">
        <f>IF(AND(A57&gt;Assumptions!$B$12,A57&lt;=Assumptions!$B$14),H57*O57,0)</f>
        <v>3.505225121650946</v>
      </c>
      <c r="Q57" s="41">
        <f t="shared" si="10"/>
        <v>0</v>
      </c>
    </row>
    <row r="58" spans="1:17" ht="15" customHeight="1" x14ac:dyDescent="0.25">
      <c r="A58" s="13">
        <v>52</v>
      </c>
      <c r="B58" s="13">
        <f t="shared" si="6"/>
        <v>13</v>
      </c>
      <c r="C58" s="13" t="str">
        <f>IF(A58&gt;Assumptions!$B$14,"Closed",IF(A58&lt;=Assumptions!$B$12,"Moratorium","Repayment"))</f>
        <v>Closed</v>
      </c>
      <c r="D58" s="14">
        <f t="shared" si="11"/>
        <v>0</v>
      </c>
      <c r="E58" s="14">
        <f>IF(B58&gt;25,0,INDEX(Assumptions!$B$22:$B$46,B58))</f>
        <v>60</v>
      </c>
      <c r="F58" s="14">
        <f t="shared" si="7"/>
        <v>15</v>
      </c>
      <c r="G58" s="14">
        <f>D58*Assumptions!$B$16</f>
        <v>0</v>
      </c>
      <c r="H58" s="14">
        <f>F58/Assumptions!$B$11</f>
        <v>10</v>
      </c>
      <c r="I58" s="14">
        <f>IF(OR(A58&lt;=Assumptions!$B$12,A58&gt;Assumptions!$B$14),0,MAX(0,MIN(D58,H58-G58)))</f>
        <v>0</v>
      </c>
      <c r="J58" s="14">
        <f>IF(A58&gt;Assumptions!$B$14,0,MIN(SUMPRODUCT((Assumptions!$B$53:$B$57=A58)*Assumptions!$C$53:$C$57)*Assumptions!$B$50,D58-I58))</f>
        <v>0</v>
      </c>
      <c r="K58" s="14">
        <f t="shared" si="8"/>
        <v>0</v>
      </c>
      <c r="L58" s="14">
        <f t="shared" si="9"/>
        <v>0</v>
      </c>
      <c r="M58" s="15" t="str">
        <f>IF(OR(A58&gt;Assumptions!$B$14,(G58+I58)=0),"",F58/(G58+I58))</f>
        <v/>
      </c>
      <c r="N58" s="13" t="str">
        <f>IF(A58&gt;Assumptions!$B$14,"Closed",IF(A58&lt;=Assumptions!$B$12,"Moratorium",IF(D58=0,"Closed (Repaid Early)",IF(M58&lt;Assumptions!$B$11-0.005,"BREACH","PASS"))))</f>
        <v>Closed</v>
      </c>
      <c r="O58" s="40">
        <f>1/(1+Assumptions!$B$16)^(A58-Assumptions!$B$12)</f>
        <v>0.34310291169959095</v>
      </c>
      <c r="P58" s="41">
        <f>IF(AND(A58&gt;Assumptions!$B$12,A58&lt;=Assumptions!$B$14),H58*O58,0)</f>
        <v>0</v>
      </c>
      <c r="Q58" s="41">
        <f t="shared" si="10"/>
        <v>0</v>
      </c>
    </row>
    <row r="59" spans="1:17" ht="15" customHeight="1" x14ac:dyDescent="0.25">
      <c r="A59" s="10">
        <v>53</v>
      </c>
      <c r="B59" s="10">
        <f t="shared" si="6"/>
        <v>14</v>
      </c>
      <c r="C59" s="10" t="str">
        <f>IF(A59&gt;Assumptions!$B$14,"Closed",IF(A59&lt;=Assumptions!$B$12,"Moratorium","Repayment"))</f>
        <v>Closed</v>
      </c>
      <c r="D59" s="11">
        <f t="shared" si="11"/>
        <v>0</v>
      </c>
      <c r="E59" s="11">
        <f>IF(B59&gt;25,0,INDEX(Assumptions!$B$22:$B$46,B59))</f>
        <v>60</v>
      </c>
      <c r="F59" s="11">
        <f t="shared" si="7"/>
        <v>15</v>
      </c>
      <c r="G59" s="11">
        <f>D59*Assumptions!$B$16</f>
        <v>0</v>
      </c>
      <c r="H59" s="11">
        <f>F59/Assumptions!$B$11</f>
        <v>10</v>
      </c>
      <c r="I59" s="11">
        <f>IF(OR(A59&lt;=Assumptions!$B$12,A59&gt;Assumptions!$B$14),0,MAX(0,MIN(D59,H59-G59)))</f>
        <v>0</v>
      </c>
      <c r="J59" s="11">
        <f>IF(A59&gt;Assumptions!$B$14,0,MIN(SUMPRODUCT((Assumptions!$B$53:$B$57=A59)*Assumptions!$C$53:$C$57)*Assumptions!$B$50,D59-I59))</f>
        <v>0</v>
      </c>
      <c r="K59" s="11">
        <f t="shared" si="8"/>
        <v>0</v>
      </c>
      <c r="L59" s="11">
        <f t="shared" si="9"/>
        <v>0</v>
      </c>
      <c r="M59" s="12" t="str">
        <f>IF(OR(A59&gt;Assumptions!$B$14,(G59+I59)=0),"",F59/(G59+I59))</f>
        <v/>
      </c>
      <c r="N59" s="10" t="str">
        <f>IF(A59&gt;Assumptions!$B$14,"Closed",IF(A59&lt;=Assumptions!$B$12,"Moratorium",IF(D59=0,"Closed (Repaid Early)",IF(M59&lt;Assumptions!$B$11-0.005,"BREACH","PASS"))))</f>
        <v>Closed</v>
      </c>
      <c r="O59" s="40">
        <f>1/(1+Assumptions!$B$16)^(A59-Assumptions!$B$12)</f>
        <v>0.33584036383172983</v>
      </c>
      <c r="P59" s="41">
        <f>IF(AND(A59&gt;Assumptions!$B$12,A59&lt;=Assumptions!$B$14),H59*O59,0)</f>
        <v>0</v>
      </c>
      <c r="Q59" s="41">
        <f t="shared" si="10"/>
        <v>0</v>
      </c>
    </row>
    <row r="60" spans="1:17" ht="15" customHeight="1" x14ac:dyDescent="0.25">
      <c r="A60" s="13">
        <v>54</v>
      </c>
      <c r="B60" s="13">
        <f t="shared" si="6"/>
        <v>14</v>
      </c>
      <c r="C60" s="13" t="str">
        <f>IF(A60&gt;Assumptions!$B$14,"Closed",IF(A60&lt;=Assumptions!$B$12,"Moratorium","Repayment"))</f>
        <v>Closed</v>
      </c>
      <c r="D60" s="14">
        <f t="shared" si="11"/>
        <v>0</v>
      </c>
      <c r="E60" s="14">
        <f>IF(B60&gt;25,0,INDEX(Assumptions!$B$22:$B$46,B60))</f>
        <v>60</v>
      </c>
      <c r="F60" s="14">
        <f t="shared" si="7"/>
        <v>15</v>
      </c>
      <c r="G60" s="14">
        <f>D60*Assumptions!$B$16</f>
        <v>0</v>
      </c>
      <c r="H60" s="14">
        <f>F60/Assumptions!$B$11</f>
        <v>10</v>
      </c>
      <c r="I60" s="14">
        <f>IF(OR(A60&lt;=Assumptions!$B$12,A60&gt;Assumptions!$B$14),0,MAX(0,MIN(D60,H60-G60)))</f>
        <v>0</v>
      </c>
      <c r="J60" s="14">
        <f>IF(A60&gt;Assumptions!$B$14,0,MIN(SUMPRODUCT((Assumptions!$B$53:$B$57=A60)*Assumptions!$C$53:$C$57)*Assumptions!$B$50,D60-I60))</f>
        <v>0</v>
      </c>
      <c r="K60" s="14">
        <f t="shared" si="8"/>
        <v>0</v>
      </c>
      <c r="L60" s="14">
        <f t="shared" si="9"/>
        <v>0</v>
      </c>
      <c r="M60" s="15" t="str">
        <f>IF(OR(A60&gt;Assumptions!$B$14,(G60+I60)=0),"",F60/(G60+I60))</f>
        <v/>
      </c>
      <c r="N60" s="13" t="str">
        <f>IF(A60&gt;Assumptions!$B$14,"Closed",IF(A60&lt;=Assumptions!$B$12,"Moratorium",IF(D60=0,"Closed (Repaid Early)",IF(M60&lt;Assumptions!$B$11-0.005,"BREACH","PASS"))))</f>
        <v>Closed</v>
      </c>
      <c r="O60" s="40">
        <f>1/(1+Assumptions!$B$16)^(A60-Assumptions!$B$12)</f>
        <v>0.32873154418865025</v>
      </c>
      <c r="P60" s="41">
        <f>IF(AND(A60&gt;Assumptions!$B$12,A60&lt;=Assumptions!$B$14),H60*O60,0)</f>
        <v>0</v>
      </c>
      <c r="Q60" s="41">
        <f t="shared" si="10"/>
        <v>0</v>
      </c>
    </row>
    <row r="61" spans="1:17" ht="15" customHeight="1" x14ac:dyDescent="0.25">
      <c r="A61" s="10">
        <v>55</v>
      </c>
      <c r="B61" s="10">
        <f t="shared" si="6"/>
        <v>14</v>
      </c>
      <c r="C61" s="10" t="str">
        <f>IF(A61&gt;Assumptions!$B$14,"Closed",IF(A61&lt;=Assumptions!$B$12,"Moratorium","Repayment"))</f>
        <v>Closed</v>
      </c>
      <c r="D61" s="11">
        <f t="shared" si="11"/>
        <v>0</v>
      </c>
      <c r="E61" s="11">
        <f>IF(B61&gt;25,0,INDEX(Assumptions!$B$22:$B$46,B61))</f>
        <v>60</v>
      </c>
      <c r="F61" s="11">
        <f t="shared" si="7"/>
        <v>15</v>
      </c>
      <c r="G61" s="11">
        <f>D61*Assumptions!$B$16</f>
        <v>0</v>
      </c>
      <c r="H61" s="11">
        <f>F61/Assumptions!$B$11</f>
        <v>10</v>
      </c>
      <c r="I61" s="11">
        <f>IF(OR(A61&lt;=Assumptions!$B$12,A61&gt;Assumptions!$B$14),0,MAX(0,MIN(D61,H61-G61)))</f>
        <v>0</v>
      </c>
      <c r="J61" s="11">
        <f>IF(A61&gt;Assumptions!$B$14,0,MIN(SUMPRODUCT((Assumptions!$B$53:$B$57=A61)*Assumptions!$C$53:$C$57)*Assumptions!$B$50,D61-I61))</f>
        <v>0</v>
      </c>
      <c r="K61" s="11">
        <f t="shared" si="8"/>
        <v>0</v>
      </c>
      <c r="L61" s="11">
        <f t="shared" si="9"/>
        <v>0</v>
      </c>
      <c r="M61" s="12" t="str">
        <f>IF(OR(A61&gt;Assumptions!$B$14,(G61+I61)=0),"",F61/(G61+I61))</f>
        <v/>
      </c>
      <c r="N61" s="10" t="str">
        <f>IF(A61&gt;Assumptions!$B$14,"Closed",IF(A61&lt;=Assumptions!$B$12,"Moratorium",IF(D61=0,"Closed (Repaid Early)",IF(M61&lt;Assumptions!$B$11-0.005,"BREACH","PASS"))))</f>
        <v>Closed</v>
      </c>
      <c r="O61" s="40">
        <f>1/(1+Assumptions!$B$16)^(A61-Assumptions!$B$12)</f>
        <v>0.3217731987653496</v>
      </c>
      <c r="P61" s="41">
        <f>IF(AND(A61&gt;Assumptions!$B$12,A61&lt;=Assumptions!$B$14),H61*O61,0)</f>
        <v>0</v>
      </c>
      <c r="Q61" s="41">
        <f t="shared" si="10"/>
        <v>0</v>
      </c>
    </row>
    <row r="62" spans="1:17" ht="15" customHeight="1" x14ac:dyDescent="0.25">
      <c r="A62" s="13">
        <v>56</v>
      </c>
      <c r="B62" s="13">
        <f t="shared" si="6"/>
        <v>14</v>
      </c>
      <c r="C62" s="13" t="str">
        <f>IF(A62&gt;Assumptions!$B$14,"Closed",IF(A62&lt;=Assumptions!$B$12,"Moratorium","Repayment"))</f>
        <v>Closed</v>
      </c>
      <c r="D62" s="14">
        <f t="shared" si="11"/>
        <v>0</v>
      </c>
      <c r="E62" s="14">
        <f>IF(B62&gt;25,0,INDEX(Assumptions!$B$22:$B$46,B62))</f>
        <v>60</v>
      </c>
      <c r="F62" s="14">
        <f t="shared" si="7"/>
        <v>15</v>
      </c>
      <c r="G62" s="14">
        <f>D62*Assumptions!$B$16</f>
        <v>0</v>
      </c>
      <c r="H62" s="14">
        <f>F62/Assumptions!$B$11</f>
        <v>10</v>
      </c>
      <c r="I62" s="14">
        <f>IF(OR(A62&lt;=Assumptions!$B$12,A62&gt;Assumptions!$B$14),0,MAX(0,MIN(D62,H62-G62)))</f>
        <v>0</v>
      </c>
      <c r="J62" s="14">
        <f>IF(A62&gt;Assumptions!$B$14,0,MIN(SUMPRODUCT((Assumptions!$B$53:$B$57=A62)*Assumptions!$C$53:$C$57)*Assumptions!$B$50,D62-I62))</f>
        <v>0</v>
      </c>
      <c r="K62" s="14">
        <f t="shared" si="8"/>
        <v>0</v>
      </c>
      <c r="L62" s="14">
        <f t="shared" si="9"/>
        <v>0</v>
      </c>
      <c r="M62" s="15" t="str">
        <f>IF(OR(A62&gt;Assumptions!$B$14,(G62+I62)=0),"",F62/(G62+I62))</f>
        <v/>
      </c>
      <c r="N62" s="13" t="str">
        <f>IF(A62&gt;Assumptions!$B$14,"Closed",IF(A62&lt;=Assumptions!$B$12,"Moratorium",IF(D62=0,"Closed (Repaid Early)",IF(M62&lt;Assumptions!$B$11-0.005,"BREACH","PASS"))))</f>
        <v>Closed</v>
      </c>
      <c r="O62" s="40">
        <f>1/(1+Assumptions!$B$16)^(A62-Assumptions!$B$12)</f>
        <v>0.31496214243518866</v>
      </c>
      <c r="P62" s="41">
        <f>IF(AND(A62&gt;Assumptions!$B$12,A62&lt;=Assumptions!$B$14),H62*O62,0)</f>
        <v>0</v>
      </c>
      <c r="Q62" s="41">
        <f t="shared" si="10"/>
        <v>0</v>
      </c>
    </row>
    <row r="63" spans="1:17" ht="15" customHeight="1" x14ac:dyDescent="0.25">
      <c r="A63" s="10">
        <v>57</v>
      </c>
      <c r="B63" s="10">
        <f t="shared" si="6"/>
        <v>15</v>
      </c>
      <c r="C63" s="10" t="str">
        <f>IF(A63&gt;Assumptions!$B$14,"Closed",IF(A63&lt;=Assumptions!$B$12,"Moratorium","Repayment"))</f>
        <v>Closed</v>
      </c>
      <c r="D63" s="11">
        <f t="shared" si="11"/>
        <v>0</v>
      </c>
      <c r="E63" s="11">
        <f>IF(B63&gt;25,0,INDEX(Assumptions!$B$22:$B$46,B63))</f>
        <v>60</v>
      </c>
      <c r="F63" s="11">
        <f t="shared" si="7"/>
        <v>15</v>
      </c>
      <c r="G63" s="11">
        <f>D63*Assumptions!$B$16</f>
        <v>0</v>
      </c>
      <c r="H63" s="11">
        <f>F63/Assumptions!$B$11</f>
        <v>10</v>
      </c>
      <c r="I63" s="11">
        <f>IF(OR(A63&lt;=Assumptions!$B$12,A63&gt;Assumptions!$B$14),0,MAX(0,MIN(D63,H63-G63)))</f>
        <v>0</v>
      </c>
      <c r="J63" s="11">
        <f>IF(A63&gt;Assumptions!$B$14,0,MIN(SUMPRODUCT((Assumptions!$B$53:$B$57=A63)*Assumptions!$C$53:$C$57)*Assumptions!$B$50,D63-I63))</f>
        <v>0</v>
      </c>
      <c r="K63" s="11">
        <f t="shared" si="8"/>
        <v>0</v>
      </c>
      <c r="L63" s="11">
        <f t="shared" si="9"/>
        <v>0</v>
      </c>
      <c r="M63" s="12" t="str">
        <f>IF(OR(A63&gt;Assumptions!$B$14,(G63+I63)=0),"",F63/(G63+I63))</f>
        <v/>
      </c>
      <c r="N63" s="10" t="str">
        <f>IF(A63&gt;Assumptions!$B$14,"Closed",IF(A63&lt;=Assumptions!$B$12,"Moratorium",IF(D63=0,"Closed (Repaid Early)",IF(M63&lt;Assumptions!$B$11-0.005,"BREACH","PASS"))))</f>
        <v>Closed</v>
      </c>
      <c r="O63" s="40">
        <f>1/(1+Assumptions!$B$16)^(A63-Assumptions!$B$12)</f>
        <v>0.30829525749192577</v>
      </c>
      <c r="P63" s="41">
        <f>IF(AND(A63&gt;Assumptions!$B$12,A63&lt;=Assumptions!$B$14),H63*O63,0)</f>
        <v>0</v>
      </c>
      <c r="Q63" s="41">
        <f t="shared" si="10"/>
        <v>0</v>
      </c>
    </row>
    <row r="64" spans="1:17" ht="15" customHeight="1" x14ac:dyDescent="0.25">
      <c r="A64" s="13">
        <v>58</v>
      </c>
      <c r="B64" s="13">
        <f t="shared" si="6"/>
        <v>15</v>
      </c>
      <c r="C64" s="13" t="str">
        <f>IF(A64&gt;Assumptions!$B$14,"Closed",IF(A64&lt;=Assumptions!$B$12,"Moratorium","Repayment"))</f>
        <v>Closed</v>
      </c>
      <c r="D64" s="14">
        <f t="shared" si="11"/>
        <v>0</v>
      </c>
      <c r="E64" s="14">
        <f>IF(B64&gt;25,0,INDEX(Assumptions!$B$22:$B$46,B64))</f>
        <v>60</v>
      </c>
      <c r="F64" s="14">
        <f t="shared" si="7"/>
        <v>15</v>
      </c>
      <c r="G64" s="14">
        <f>D64*Assumptions!$B$16</f>
        <v>0</v>
      </c>
      <c r="H64" s="14">
        <f>F64/Assumptions!$B$11</f>
        <v>10</v>
      </c>
      <c r="I64" s="14">
        <f>IF(OR(A64&lt;=Assumptions!$B$12,A64&gt;Assumptions!$B$14),0,MAX(0,MIN(D64,H64-G64)))</f>
        <v>0</v>
      </c>
      <c r="J64" s="14">
        <f>IF(A64&gt;Assumptions!$B$14,0,MIN(SUMPRODUCT((Assumptions!$B$53:$B$57=A64)*Assumptions!$C$53:$C$57)*Assumptions!$B$50,D64-I64))</f>
        <v>0</v>
      </c>
      <c r="K64" s="14">
        <f t="shared" si="8"/>
        <v>0</v>
      </c>
      <c r="L64" s="14">
        <f t="shared" si="9"/>
        <v>0</v>
      </c>
      <c r="M64" s="15" t="str">
        <f>IF(OR(A64&gt;Assumptions!$B$14,(G64+I64)=0),"",F64/(G64+I64))</f>
        <v/>
      </c>
      <c r="N64" s="13" t="str">
        <f>IF(A64&gt;Assumptions!$B$14,"Closed",IF(A64&lt;=Assumptions!$B$12,"Moratorium",IF(D64=0,"Closed (Repaid Early)",IF(M64&lt;Assumptions!$B$11-0.005,"BREACH","PASS"))))</f>
        <v>Closed</v>
      </c>
      <c r="O64" s="40">
        <f>1/(1+Assumptions!$B$16)^(A64-Assumptions!$B$12)</f>
        <v>0.30176949222261179</v>
      </c>
      <c r="P64" s="41">
        <f>IF(AND(A64&gt;Assumptions!$B$12,A64&lt;=Assumptions!$B$14),H64*O64,0)</f>
        <v>0</v>
      </c>
      <c r="Q64" s="41">
        <f t="shared" si="10"/>
        <v>0</v>
      </c>
    </row>
    <row r="65" spans="1:17" ht="15" customHeight="1" x14ac:dyDescent="0.25">
      <c r="A65" s="10">
        <v>59</v>
      </c>
      <c r="B65" s="10">
        <f t="shared" si="6"/>
        <v>15</v>
      </c>
      <c r="C65" s="10" t="str">
        <f>IF(A65&gt;Assumptions!$B$14,"Closed",IF(A65&lt;=Assumptions!$B$12,"Moratorium","Repayment"))</f>
        <v>Closed</v>
      </c>
      <c r="D65" s="11">
        <f t="shared" si="11"/>
        <v>0</v>
      </c>
      <c r="E65" s="11">
        <f>IF(B65&gt;25,0,INDEX(Assumptions!$B$22:$B$46,B65))</f>
        <v>60</v>
      </c>
      <c r="F65" s="11">
        <f t="shared" si="7"/>
        <v>15</v>
      </c>
      <c r="G65" s="11">
        <f>D65*Assumptions!$B$16</f>
        <v>0</v>
      </c>
      <c r="H65" s="11">
        <f>F65/Assumptions!$B$11</f>
        <v>10</v>
      </c>
      <c r="I65" s="11">
        <f>IF(OR(A65&lt;=Assumptions!$B$12,A65&gt;Assumptions!$B$14),0,MAX(0,MIN(D65,H65-G65)))</f>
        <v>0</v>
      </c>
      <c r="J65" s="11">
        <f>IF(A65&gt;Assumptions!$B$14,0,MIN(SUMPRODUCT((Assumptions!$B$53:$B$57=A65)*Assumptions!$C$53:$C$57)*Assumptions!$B$50,D65-I65))</f>
        <v>0</v>
      </c>
      <c r="K65" s="11">
        <f t="shared" si="8"/>
        <v>0</v>
      </c>
      <c r="L65" s="11">
        <f t="shared" si="9"/>
        <v>0</v>
      </c>
      <c r="M65" s="12" t="str">
        <f>IF(OR(A65&gt;Assumptions!$B$14,(G65+I65)=0),"",F65/(G65+I65))</f>
        <v/>
      </c>
      <c r="N65" s="10" t="str">
        <f>IF(A65&gt;Assumptions!$B$14,"Closed",IF(A65&lt;=Assumptions!$B$12,"Moratorium",IF(D65=0,"Closed (Repaid Early)",IF(M65&lt;Assumptions!$B$11-0.005,"BREACH","PASS"))))</f>
        <v>Closed</v>
      </c>
      <c r="O65" s="40">
        <f>1/(1+Assumptions!$B$16)^(A65-Assumptions!$B$12)</f>
        <v>0.29538185951069307</v>
      </c>
      <c r="P65" s="41">
        <f>IF(AND(A65&gt;Assumptions!$B$12,A65&lt;=Assumptions!$B$14),H65*O65,0)</f>
        <v>0</v>
      </c>
      <c r="Q65" s="41">
        <f t="shared" si="10"/>
        <v>0</v>
      </c>
    </row>
    <row r="66" spans="1:17" ht="15" customHeight="1" x14ac:dyDescent="0.25">
      <c r="A66" s="13">
        <v>60</v>
      </c>
      <c r="B66" s="13">
        <f t="shared" si="6"/>
        <v>15</v>
      </c>
      <c r="C66" s="13" t="str">
        <f>IF(A66&gt;Assumptions!$B$14,"Closed",IF(A66&lt;=Assumptions!$B$12,"Moratorium","Repayment"))</f>
        <v>Closed</v>
      </c>
      <c r="D66" s="14">
        <f t="shared" si="11"/>
        <v>0</v>
      </c>
      <c r="E66" s="14">
        <f>IF(B66&gt;25,0,INDEX(Assumptions!$B$22:$B$46,B66))</f>
        <v>60</v>
      </c>
      <c r="F66" s="14">
        <f t="shared" si="7"/>
        <v>15</v>
      </c>
      <c r="G66" s="14">
        <f>D66*Assumptions!$B$16</f>
        <v>0</v>
      </c>
      <c r="H66" s="14">
        <f>F66/Assumptions!$B$11</f>
        <v>10</v>
      </c>
      <c r="I66" s="14">
        <f>IF(OR(A66&lt;=Assumptions!$B$12,A66&gt;Assumptions!$B$14),0,MAX(0,MIN(D66,H66-G66)))</f>
        <v>0</v>
      </c>
      <c r="J66" s="14">
        <f>IF(A66&gt;Assumptions!$B$14,0,MIN(SUMPRODUCT((Assumptions!$B$53:$B$57=A66)*Assumptions!$C$53:$C$57)*Assumptions!$B$50,D66-I66))</f>
        <v>0</v>
      </c>
      <c r="K66" s="14">
        <f t="shared" si="8"/>
        <v>0</v>
      </c>
      <c r="L66" s="14">
        <f t="shared" si="9"/>
        <v>0</v>
      </c>
      <c r="M66" s="15" t="str">
        <f>IF(OR(A66&gt;Assumptions!$B$14,(G66+I66)=0),"",F66/(G66+I66))</f>
        <v/>
      </c>
      <c r="N66" s="13" t="str">
        <f>IF(A66&gt;Assumptions!$B$14,"Closed",IF(A66&lt;=Assumptions!$B$12,"Moratorium",IF(D66=0,"Closed (Repaid Early)",IF(M66&lt;Assumptions!$B$11-0.005,"BREACH","PASS"))))</f>
        <v>Closed</v>
      </c>
      <c r="O66" s="40">
        <f>1/(1+Assumptions!$B$16)^(A66-Assumptions!$B$12)</f>
        <v>0.2891294354686828</v>
      </c>
      <c r="P66" s="41">
        <f>IF(AND(A66&gt;Assumptions!$B$12,A66&lt;=Assumptions!$B$14),H66*O66,0)</f>
        <v>0</v>
      </c>
      <c r="Q66" s="41">
        <f t="shared" si="10"/>
        <v>0</v>
      </c>
    </row>
    <row r="67" spans="1:17" ht="15" customHeight="1" x14ac:dyDescent="0.25">
      <c r="A67" s="10">
        <v>61</v>
      </c>
      <c r="B67" s="10">
        <f t="shared" si="6"/>
        <v>16</v>
      </c>
      <c r="C67" s="10" t="str">
        <f>IF(A67&gt;Assumptions!$B$14,"Closed",IF(A67&lt;=Assumptions!$B$12,"Moratorium","Repayment"))</f>
        <v>Closed</v>
      </c>
      <c r="D67" s="11">
        <f t="shared" si="11"/>
        <v>0</v>
      </c>
      <c r="E67" s="11">
        <f>IF(B67&gt;25,0,INDEX(Assumptions!$B$22:$B$46,B67))</f>
        <v>0</v>
      </c>
      <c r="F67" s="11">
        <f t="shared" si="7"/>
        <v>0</v>
      </c>
      <c r="G67" s="11">
        <f>D67*Assumptions!$B$16</f>
        <v>0</v>
      </c>
      <c r="H67" s="11">
        <f>F67/Assumptions!$B$11</f>
        <v>0</v>
      </c>
      <c r="I67" s="11">
        <f>IF(OR(A67&lt;=Assumptions!$B$12,A67&gt;Assumptions!$B$14),0,MAX(0,MIN(D67,H67-G67)))</f>
        <v>0</v>
      </c>
      <c r="J67" s="11">
        <f>IF(A67&gt;Assumptions!$B$14,0,MIN(SUMPRODUCT((Assumptions!$B$53:$B$57=A67)*Assumptions!$C$53:$C$57)*Assumptions!$B$50,D67-I67))</f>
        <v>0</v>
      </c>
      <c r="K67" s="11">
        <f t="shared" si="8"/>
        <v>0</v>
      </c>
      <c r="L67" s="11">
        <f t="shared" si="9"/>
        <v>0</v>
      </c>
      <c r="M67" s="12" t="str">
        <f>IF(OR(A67&gt;Assumptions!$B$14,(G67+I67)=0),"",F67/(G67+I67))</f>
        <v/>
      </c>
      <c r="N67" s="10" t="str">
        <f>IF(A67&gt;Assumptions!$B$14,"Closed",IF(A67&lt;=Assumptions!$B$12,"Moratorium",IF(D67=0,"Closed (Repaid Early)",IF(M67&lt;Assumptions!$B$11-0.005,"BREACH","PASS"))))</f>
        <v>Closed</v>
      </c>
      <c r="O67" s="40">
        <f>1/(1+Assumptions!$B$16)^(A67-Assumptions!$B$12)</f>
        <v>0.28300935809977523</v>
      </c>
      <c r="P67" s="41">
        <f>IF(AND(A67&gt;Assumptions!$B$12,A67&lt;=Assumptions!$B$14),H67*O67,0)</f>
        <v>0</v>
      </c>
      <c r="Q67" s="41">
        <f t="shared" si="10"/>
        <v>0</v>
      </c>
    </row>
    <row r="68" spans="1:17" ht="15" customHeight="1" x14ac:dyDescent="0.25">
      <c r="A68" s="13">
        <v>62</v>
      </c>
      <c r="B68" s="13">
        <f t="shared" si="6"/>
        <v>16</v>
      </c>
      <c r="C68" s="13" t="str">
        <f>IF(A68&gt;Assumptions!$B$14,"Closed",IF(A68&lt;=Assumptions!$B$12,"Moratorium","Repayment"))</f>
        <v>Closed</v>
      </c>
      <c r="D68" s="14">
        <f t="shared" si="11"/>
        <v>0</v>
      </c>
      <c r="E68" s="14">
        <f>IF(B68&gt;25,0,INDEX(Assumptions!$B$22:$B$46,B68))</f>
        <v>0</v>
      </c>
      <c r="F68" s="14">
        <f t="shared" si="7"/>
        <v>0</v>
      </c>
      <c r="G68" s="14">
        <f>D68*Assumptions!$B$16</f>
        <v>0</v>
      </c>
      <c r="H68" s="14">
        <f>F68/Assumptions!$B$11</f>
        <v>0</v>
      </c>
      <c r="I68" s="14">
        <f>IF(OR(A68&lt;=Assumptions!$B$12,A68&gt;Assumptions!$B$14),0,MAX(0,MIN(D68,H68-G68)))</f>
        <v>0</v>
      </c>
      <c r="J68" s="14">
        <f>IF(A68&gt;Assumptions!$B$14,0,MIN(SUMPRODUCT((Assumptions!$B$53:$B$57=A68)*Assumptions!$C$53:$C$57)*Assumptions!$B$50,D68-I68))</f>
        <v>0</v>
      </c>
      <c r="K68" s="14">
        <f t="shared" si="8"/>
        <v>0</v>
      </c>
      <c r="L68" s="14">
        <f t="shared" si="9"/>
        <v>0</v>
      </c>
      <c r="M68" s="15" t="str">
        <f>IF(OR(A68&gt;Assumptions!$B$14,(G68+I68)=0),"",F68/(G68+I68))</f>
        <v/>
      </c>
      <c r="N68" s="13" t="str">
        <f>IF(A68&gt;Assumptions!$B$14,"Closed",IF(A68&lt;=Assumptions!$B$12,"Moratorium",IF(D68=0,"Closed (Repaid Early)",IF(M68&lt;Assumptions!$B$11-0.005,"BREACH","PASS"))))</f>
        <v>Closed</v>
      </c>
      <c r="O68" s="40">
        <f>1/(1+Assumptions!$B$16)^(A68-Assumptions!$B$12)</f>
        <v>0.27701882598778926</v>
      </c>
      <c r="P68" s="41">
        <f>IF(AND(A68&gt;Assumptions!$B$12,A68&lt;=Assumptions!$B$14),H68*O68,0)</f>
        <v>0</v>
      </c>
      <c r="Q68" s="41">
        <f t="shared" si="10"/>
        <v>0</v>
      </c>
    </row>
    <row r="69" spans="1:17" ht="15" customHeight="1" x14ac:dyDescent="0.25">
      <c r="A69" s="10">
        <v>63</v>
      </c>
      <c r="B69" s="10">
        <f t="shared" si="6"/>
        <v>16</v>
      </c>
      <c r="C69" s="10" t="str">
        <f>IF(A69&gt;Assumptions!$B$14,"Closed",IF(A69&lt;=Assumptions!$B$12,"Moratorium","Repayment"))</f>
        <v>Closed</v>
      </c>
      <c r="D69" s="11">
        <f t="shared" si="11"/>
        <v>0</v>
      </c>
      <c r="E69" s="11">
        <f>IF(B69&gt;25,0,INDEX(Assumptions!$B$22:$B$46,B69))</f>
        <v>0</v>
      </c>
      <c r="F69" s="11">
        <f t="shared" si="7"/>
        <v>0</v>
      </c>
      <c r="G69" s="11">
        <f>D69*Assumptions!$B$16</f>
        <v>0</v>
      </c>
      <c r="H69" s="11">
        <f>F69/Assumptions!$B$11</f>
        <v>0</v>
      </c>
      <c r="I69" s="11">
        <f>IF(OR(A69&lt;=Assumptions!$B$12,A69&gt;Assumptions!$B$14),0,MAX(0,MIN(D69,H69-G69)))</f>
        <v>0</v>
      </c>
      <c r="J69" s="11">
        <f>IF(A69&gt;Assumptions!$B$14,0,MIN(SUMPRODUCT((Assumptions!$B$53:$B$57=A69)*Assumptions!$C$53:$C$57)*Assumptions!$B$50,D69-I69))</f>
        <v>0</v>
      </c>
      <c r="K69" s="11">
        <f t="shared" si="8"/>
        <v>0</v>
      </c>
      <c r="L69" s="11">
        <f t="shared" si="9"/>
        <v>0</v>
      </c>
      <c r="M69" s="12" t="str">
        <f>IF(OR(A69&gt;Assumptions!$B$14,(G69+I69)=0),"",F69/(G69+I69))</f>
        <v/>
      </c>
      <c r="N69" s="10" t="str">
        <f>IF(A69&gt;Assumptions!$B$14,"Closed",IF(A69&lt;=Assumptions!$B$12,"Moratorium",IF(D69=0,"Closed (Repaid Early)",IF(M69&lt;Assumptions!$B$11-0.005,"BREACH","PASS"))))</f>
        <v>Closed</v>
      </c>
      <c r="O69" s="40">
        <f>1/(1+Assumptions!$B$16)^(A69-Assumptions!$B$12)</f>
        <v>0.27115509701484325</v>
      </c>
      <c r="P69" s="41">
        <f>IF(AND(A69&gt;Assumptions!$B$12,A69&lt;=Assumptions!$B$14),H69*O69,0)</f>
        <v>0</v>
      </c>
      <c r="Q69" s="41">
        <f t="shared" si="10"/>
        <v>0</v>
      </c>
    </row>
    <row r="70" spans="1:17" ht="15" customHeight="1" x14ac:dyDescent="0.25">
      <c r="A70" s="13">
        <v>64</v>
      </c>
      <c r="B70" s="13">
        <f t="shared" si="6"/>
        <v>16</v>
      </c>
      <c r="C70" s="13" t="str">
        <f>IF(A70&gt;Assumptions!$B$14,"Closed",IF(A70&lt;=Assumptions!$B$12,"Moratorium","Repayment"))</f>
        <v>Closed</v>
      </c>
      <c r="D70" s="14">
        <f t="shared" si="11"/>
        <v>0</v>
      </c>
      <c r="E70" s="14">
        <f>IF(B70&gt;25,0,INDEX(Assumptions!$B$22:$B$46,B70))</f>
        <v>0</v>
      </c>
      <c r="F70" s="14">
        <f t="shared" si="7"/>
        <v>0</v>
      </c>
      <c r="G70" s="14">
        <f>D70*Assumptions!$B$16</f>
        <v>0</v>
      </c>
      <c r="H70" s="14">
        <f>F70/Assumptions!$B$11</f>
        <v>0</v>
      </c>
      <c r="I70" s="14">
        <f>IF(OR(A70&lt;=Assumptions!$B$12,A70&gt;Assumptions!$B$14),0,MAX(0,MIN(D70,H70-G70)))</f>
        <v>0</v>
      </c>
      <c r="J70" s="14">
        <f>IF(A70&gt;Assumptions!$B$14,0,MIN(SUMPRODUCT((Assumptions!$B$53:$B$57=A70)*Assumptions!$C$53:$C$57)*Assumptions!$B$50,D70-I70))</f>
        <v>0</v>
      </c>
      <c r="K70" s="14">
        <f t="shared" si="8"/>
        <v>0</v>
      </c>
      <c r="L70" s="14">
        <f t="shared" si="9"/>
        <v>0</v>
      </c>
      <c r="M70" s="15" t="str">
        <f>IF(OR(A70&gt;Assumptions!$B$14,(G70+I70)=0),"",F70/(G70+I70))</f>
        <v/>
      </c>
      <c r="N70" s="13" t="str">
        <f>IF(A70&gt;Assumptions!$B$14,"Closed",IF(A70&lt;=Assumptions!$B$12,"Moratorium",IF(D70=0,"Closed (Repaid Early)",IF(M70&lt;Assumptions!$B$11-0.005,"BREACH","PASS"))))</f>
        <v>Closed</v>
      </c>
      <c r="O70" s="40">
        <f>1/(1+Assumptions!$B$16)^(A70-Assumptions!$B$12)</f>
        <v>0.2654154871061723</v>
      </c>
      <c r="P70" s="41">
        <f>IF(AND(A70&gt;Assumptions!$B$12,A70&lt;=Assumptions!$B$14),H70*O70,0)</f>
        <v>0</v>
      </c>
      <c r="Q70" s="41">
        <f t="shared" si="10"/>
        <v>0</v>
      </c>
    </row>
    <row r="71" spans="1:17" ht="15" customHeight="1" x14ac:dyDescent="0.25">
      <c r="A71" s="10">
        <v>65</v>
      </c>
      <c r="B71" s="10">
        <f t="shared" ref="B71:B102" si="12">ROUNDUP(A71/4,0)</f>
        <v>17</v>
      </c>
      <c r="C71" s="10" t="str">
        <f>IF(A71&gt;Assumptions!$B$14,"Closed",IF(A71&lt;=Assumptions!$B$12,"Moratorium","Repayment"))</f>
        <v>Closed</v>
      </c>
      <c r="D71" s="11">
        <f t="shared" si="11"/>
        <v>0</v>
      </c>
      <c r="E71" s="11">
        <f>IF(B71&gt;25,0,INDEX(Assumptions!$B$22:$B$46,B71))</f>
        <v>0</v>
      </c>
      <c r="F71" s="11">
        <f t="shared" ref="F71:F102" si="13">E71/4</f>
        <v>0</v>
      </c>
      <c r="G71" s="11">
        <f>D71*Assumptions!$B$16</f>
        <v>0</v>
      </c>
      <c r="H71" s="11">
        <f>F71/Assumptions!$B$11</f>
        <v>0</v>
      </c>
      <c r="I71" s="11">
        <f>IF(OR(A71&lt;=Assumptions!$B$12,A71&gt;Assumptions!$B$14),0,MAX(0,MIN(D71,H71-G71)))</f>
        <v>0</v>
      </c>
      <c r="J71" s="11">
        <f>IF(A71&gt;Assumptions!$B$14,0,MIN(SUMPRODUCT((Assumptions!$B$53:$B$57=A71)*Assumptions!$C$53:$C$57)*Assumptions!$B$50,D71-I71))</f>
        <v>0</v>
      </c>
      <c r="K71" s="11">
        <f t="shared" ref="K71:K102" si="14">I71+J71</f>
        <v>0</v>
      </c>
      <c r="L71" s="11">
        <f t="shared" ref="L71:L102" si="15">D71-K71</f>
        <v>0</v>
      </c>
      <c r="M71" s="12" t="str">
        <f>IF(OR(A71&gt;Assumptions!$B$14,(G71+I71)=0),"",F71/(G71+I71))</f>
        <v/>
      </c>
      <c r="N71" s="10" t="str">
        <f>IF(A71&gt;Assumptions!$B$14,"Closed",IF(A71&lt;=Assumptions!$B$12,"Moratorium",IF(D71=0,"Closed (Repaid Early)",IF(M71&lt;Assumptions!$B$11-0.005,"BREACH","PASS"))))</f>
        <v>Closed</v>
      </c>
      <c r="O71" s="40">
        <f>1/(1+Assumptions!$B$16)^(A71-Assumptions!$B$12)</f>
        <v>0.25979736900151457</v>
      </c>
      <c r="P71" s="41">
        <f>IF(AND(A71&gt;Assumptions!$B$12,A71&lt;=Assumptions!$B$14),H71*O71,0)</f>
        <v>0</v>
      </c>
      <c r="Q71" s="41">
        <f t="shared" ref="Q71:Q106" si="16">J71*O71</f>
        <v>0</v>
      </c>
    </row>
    <row r="72" spans="1:17" ht="15" customHeight="1" x14ac:dyDescent="0.25">
      <c r="A72" s="13">
        <v>66</v>
      </c>
      <c r="B72" s="13">
        <f t="shared" si="12"/>
        <v>17</v>
      </c>
      <c r="C72" s="13" t="str">
        <f>IF(A72&gt;Assumptions!$B$14,"Closed",IF(A72&lt;=Assumptions!$B$12,"Moratorium","Repayment"))</f>
        <v>Closed</v>
      </c>
      <c r="D72" s="14">
        <f t="shared" ref="D72:D106" si="17">L71</f>
        <v>0</v>
      </c>
      <c r="E72" s="14">
        <f>IF(B72&gt;25,0,INDEX(Assumptions!$B$22:$B$46,B72))</f>
        <v>0</v>
      </c>
      <c r="F72" s="14">
        <f t="shared" si="13"/>
        <v>0</v>
      </c>
      <c r="G72" s="14">
        <f>D72*Assumptions!$B$16</f>
        <v>0</v>
      </c>
      <c r="H72" s="14">
        <f>F72/Assumptions!$B$11</f>
        <v>0</v>
      </c>
      <c r="I72" s="14">
        <f>IF(OR(A72&lt;=Assumptions!$B$12,A72&gt;Assumptions!$B$14),0,MAX(0,MIN(D72,H72-G72)))</f>
        <v>0</v>
      </c>
      <c r="J72" s="14">
        <f>IF(A72&gt;Assumptions!$B$14,0,MIN(SUMPRODUCT((Assumptions!$B$53:$B$57=A72)*Assumptions!$C$53:$C$57)*Assumptions!$B$50,D72-I72))</f>
        <v>0</v>
      </c>
      <c r="K72" s="14">
        <f t="shared" si="14"/>
        <v>0</v>
      </c>
      <c r="L72" s="14">
        <f t="shared" si="15"/>
        <v>0</v>
      </c>
      <c r="M72" s="15" t="str">
        <f>IF(OR(A72&gt;Assumptions!$B$14,(G72+I72)=0),"",F72/(G72+I72))</f>
        <v/>
      </c>
      <c r="N72" s="13" t="str">
        <f>IF(A72&gt;Assumptions!$B$14,"Closed",IF(A72&lt;=Assumptions!$B$12,"Moratorium",IF(D72=0,"Closed (Repaid Early)",IF(M72&lt;Assumptions!$B$11-0.005,"BREACH","PASS"))))</f>
        <v>Closed</v>
      </c>
      <c r="O72" s="40">
        <f>1/(1+Assumptions!$B$16)^(A72-Assumptions!$B$12)</f>
        <v>0.25429817105250418</v>
      </c>
      <c r="P72" s="41">
        <f>IF(AND(A72&gt;Assumptions!$B$12,A72&lt;=Assumptions!$B$14),H72*O72,0)</f>
        <v>0</v>
      </c>
      <c r="Q72" s="41">
        <f t="shared" si="16"/>
        <v>0</v>
      </c>
    </row>
    <row r="73" spans="1:17" ht="15" customHeight="1" x14ac:dyDescent="0.25">
      <c r="A73" s="10">
        <v>67</v>
      </c>
      <c r="B73" s="10">
        <f t="shared" si="12"/>
        <v>17</v>
      </c>
      <c r="C73" s="10" t="str">
        <f>IF(A73&gt;Assumptions!$B$14,"Closed",IF(A73&lt;=Assumptions!$B$12,"Moratorium","Repayment"))</f>
        <v>Closed</v>
      </c>
      <c r="D73" s="11">
        <f t="shared" si="17"/>
        <v>0</v>
      </c>
      <c r="E73" s="11">
        <f>IF(B73&gt;25,0,INDEX(Assumptions!$B$22:$B$46,B73))</f>
        <v>0</v>
      </c>
      <c r="F73" s="11">
        <f t="shared" si="13"/>
        <v>0</v>
      </c>
      <c r="G73" s="11">
        <f>D73*Assumptions!$B$16</f>
        <v>0</v>
      </c>
      <c r="H73" s="11">
        <f>F73/Assumptions!$B$11</f>
        <v>0</v>
      </c>
      <c r="I73" s="11">
        <f>IF(OR(A73&lt;=Assumptions!$B$12,A73&gt;Assumptions!$B$14),0,MAX(0,MIN(D73,H73-G73)))</f>
        <v>0</v>
      </c>
      <c r="J73" s="11">
        <f>IF(A73&gt;Assumptions!$B$14,0,MIN(SUMPRODUCT((Assumptions!$B$53:$B$57=A73)*Assumptions!$C$53:$C$57)*Assumptions!$B$50,D73-I73))</f>
        <v>0</v>
      </c>
      <c r="K73" s="11">
        <f t="shared" si="14"/>
        <v>0</v>
      </c>
      <c r="L73" s="11">
        <f t="shared" si="15"/>
        <v>0</v>
      </c>
      <c r="M73" s="12" t="str">
        <f>IF(OR(A73&gt;Assumptions!$B$14,(G73+I73)=0),"",F73/(G73+I73))</f>
        <v/>
      </c>
      <c r="N73" s="10" t="str">
        <f>IF(A73&gt;Assumptions!$B$14,"Closed",IF(A73&lt;=Assumptions!$B$12,"Moratorium",IF(D73=0,"Closed (Repaid Early)",IF(M73&lt;Assumptions!$B$11-0.005,"BREACH","PASS"))))</f>
        <v>Closed</v>
      </c>
      <c r="O73" s="40">
        <f>1/(1+Assumptions!$B$16)^(A73-Assumptions!$B$12)</f>
        <v>0.2489153760455198</v>
      </c>
      <c r="P73" s="41">
        <f>IF(AND(A73&gt;Assumptions!$B$12,A73&lt;=Assumptions!$B$14),H73*O73,0)</f>
        <v>0</v>
      </c>
      <c r="Q73" s="41">
        <f t="shared" si="16"/>
        <v>0</v>
      </c>
    </row>
    <row r="74" spans="1:17" ht="15" customHeight="1" x14ac:dyDescent="0.25">
      <c r="A74" s="13">
        <v>68</v>
      </c>
      <c r="B74" s="13">
        <f t="shared" si="12"/>
        <v>17</v>
      </c>
      <c r="C74" s="13" t="str">
        <f>IF(A74&gt;Assumptions!$B$14,"Closed",IF(A74&lt;=Assumptions!$B$12,"Moratorium","Repayment"))</f>
        <v>Closed</v>
      </c>
      <c r="D74" s="14">
        <f t="shared" si="17"/>
        <v>0</v>
      </c>
      <c r="E74" s="14">
        <f>IF(B74&gt;25,0,INDEX(Assumptions!$B$22:$B$46,B74))</f>
        <v>0</v>
      </c>
      <c r="F74" s="14">
        <f t="shared" si="13"/>
        <v>0</v>
      </c>
      <c r="G74" s="14">
        <f>D74*Assumptions!$B$16</f>
        <v>0</v>
      </c>
      <c r="H74" s="14">
        <f>F74/Assumptions!$B$11</f>
        <v>0</v>
      </c>
      <c r="I74" s="14">
        <f>IF(OR(A74&lt;=Assumptions!$B$12,A74&gt;Assumptions!$B$14),0,MAX(0,MIN(D74,H74-G74)))</f>
        <v>0</v>
      </c>
      <c r="J74" s="14">
        <f>IF(A74&gt;Assumptions!$B$14,0,MIN(SUMPRODUCT((Assumptions!$B$53:$B$57=A74)*Assumptions!$C$53:$C$57)*Assumptions!$B$50,D74-I74))</f>
        <v>0</v>
      </c>
      <c r="K74" s="14">
        <f t="shared" si="14"/>
        <v>0</v>
      </c>
      <c r="L74" s="14">
        <f t="shared" si="15"/>
        <v>0</v>
      </c>
      <c r="M74" s="15" t="str">
        <f>IF(OR(A74&gt;Assumptions!$B$14,(G74+I74)=0),"",F74/(G74+I74))</f>
        <v/>
      </c>
      <c r="N74" s="13" t="str">
        <f>IF(A74&gt;Assumptions!$B$14,"Closed",IF(A74&lt;=Assumptions!$B$12,"Moratorium",IF(D74=0,"Closed (Repaid Early)",IF(M74&lt;Assumptions!$B$11-0.005,"BREACH","PASS"))))</f>
        <v>Closed</v>
      </c>
      <c r="O74" s="40">
        <f>1/(1+Assumptions!$B$16)^(A74-Assumptions!$B$12)</f>
        <v>0.24364652004945048</v>
      </c>
      <c r="P74" s="41">
        <f>IF(AND(A74&gt;Assumptions!$B$12,A74&lt;=Assumptions!$B$14),H74*O74,0)</f>
        <v>0</v>
      </c>
      <c r="Q74" s="41">
        <f t="shared" si="16"/>
        <v>0</v>
      </c>
    </row>
    <row r="75" spans="1:17" ht="15" customHeight="1" x14ac:dyDescent="0.25">
      <c r="A75" s="10">
        <v>69</v>
      </c>
      <c r="B75" s="10">
        <f t="shared" si="12"/>
        <v>18</v>
      </c>
      <c r="C75" s="10" t="str">
        <f>IF(A75&gt;Assumptions!$B$14,"Closed",IF(A75&lt;=Assumptions!$B$12,"Moratorium","Repayment"))</f>
        <v>Closed</v>
      </c>
      <c r="D75" s="11">
        <f t="shared" si="17"/>
        <v>0</v>
      </c>
      <c r="E75" s="11">
        <f>IF(B75&gt;25,0,INDEX(Assumptions!$B$22:$B$46,B75))</f>
        <v>0</v>
      </c>
      <c r="F75" s="11">
        <f t="shared" si="13"/>
        <v>0</v>
      </c>
      <c r="G75" s="11">
        <f>D75*Assumptions!$B$16</f>
        <v>0</v>
      </c>
      <c r="H75" s="11">
        <f>F75/Assumptions!$B$11</f>
        <v>0</v>
      </c>
      <c r="I75" s="11">
        <f>IF(OR(A75&lt;=Assumptions!$B$12,A75&gt;Assumptions!$B$14),0,MAX(0,MIN(D75,H75-G75)))</f>
        <v>0</v>
      </c>
      <c r="J75" s="11">
        <f>IF(A75&gt;Assumptions!$B$14,0,MIN(SUMPRODUCT((Assumptions!$B$53:$B$57=A75)*Assumptions!$C$53:$C$57)*Assumptions!$B$50,D75-I75))</f>
        <v>0</v>
      </c>
      <c r="K75" s="11">
        <f t="shared" si="14"/>
        <v>0</v>
      </c>
      <c r="L75" s="11">
        <f t="shared" si="15"/>
        <v>0</v>
      </c>
      <c r="M75" s="12" t="str">
        <f>IF(OR(A75&gt;Assumptions!$B$14,(G75+I75)=0),"",F75/(G75+I75))</f>
        <v/>
      </c>
      <c r="N75" s="10" t="str">
        <f>IF(A75&gt;Assumptions!$B$14,"Closed",IF(A75&lt;=Assumptions!$B$12,"Moratorium",IF(D75=0,"Closed (Repaid Early)",IF(M75&lt;Assumptions!$B$11-0.005,"BREACH","PASS"))))</f>
        <v>Closed</v>
      </c>
      <c r="O75" s="40">
        <f>1/(1+Assumptions!$B$16)^(A75-Assumptions!$B$12)</f>
        <v>0.2384891912878507</v>
      </c>
      <c r="P75" s="41">
        <f>IF(AND(A75&gt;Assumptions!$B$12,A75&lt;=Assumptions!$B$14),H75*O75,0)</f>
        <v>0</v>
      </c>
      <c r="Q75" s="41">
        <f t="shared" si="16"/>
        <v>0</v>
      </c>
    </row>
    <row r="76" spans="1:17" ht="15" customHeight="1" x14ac:dyDescent="0.25">
      <c r="A76" s="13">
        <v>70</v>
      </c>
      <c r="B76" s="13">
        <f t="shared" si="12"/>
        <v>18</v>
      </c>
      <c r="C76" s="13" t="str">
        <f>IF(A76&gt;Assumptions!$B$14,"Closed",IF(A76&lt;=Assumptions!$B$12,"Moratorium","Repayment"))</f>
        <v>Closed</v>
      </c>
      <c r="D76" s="14">
        <f t="shared" si="17"/>
        <v>0</v>
      </c>
      <c r="E76" s="14">
        <f>IF(B76&gt;25,0,INDEX(Assumptions!$B$22:$B$46,B76))</f>
        <v>0</v>
      </c>
      <c r="F76" s="14">
        <f t="shared" si="13"/>
        <v>0</v>
      </c>
      <c r="G76" s="14">
        <f>D76*Assumptions!$B$16</f>
        <v>0</v>
      </c>
      <c r="H76" s="14">
        <f>F76/Assumptions!$B$11</f>
        <v>0</v>
      </c>
      <c r="I76" s="14">
        <f>IF(OR(A76&lt;=Assumptions!$B$12,A76&gt;Assumptions!$B$14),0,MAX(0,MIN(D76,H76-G76)))</f>
        <v>0</v>
      </c>
      <c r="J76" s="14">
        <f>IF(A76&gt;Assumptions!$B$14,0,MIN(SUMPRODUCT((Assumptions!$B$53:$B$57=A76)*Assumptions!$C$53:$C$57)*Assumptions!$B$50,D76-I76))</f>
        <v>0</v>
      </c>
      <c r="K76" s="14">
        <f t="shared" si="14"/>
        <v>0</v>
      </c>
      <c r="L76" s="14">
        <f t="shared" si="15"/>
        <v>0</v>
      </c>
      <c r="M76" s="15" t="str">
        <f>IF(OR(A76&gt;Assumptions!$B$14,(G76+I76)=0),"",F76/(G76+I76))</f>
        <v/>
      </c>
      <c r="N76" s="13" t="str">
        <f>IF(A76&gt;Assumptions!$B$14,"Closed",IF(A76&lt;=Assumptions!$B$12,"Moratorium",IF(D76=0,"Closed (Repaid Early)",IF(M76&lt;Assumptions!$B$11-0.005,"BREACH","PASS"))))</f>
        <v>Closed</v>
      </c>
      <c r="O76" s="40">
        <f>1/(1+Assumptions!$B$16)^(A76-Assumptions!$B$12)</f>
        <v>0.23344102903496949</v>
      </c>
      <c r="P76" s="41">
        <f>IF(AND(A76&gt;Assumptions!$B$12,A76&lt;=Assumptions!$B$14),H76*O76,0)</f>
        <v>0</v>
      </c>
      <c r="Q76" s="41">
        <f t="shared" si="16"/>
        <v>0</v>
      </c>
    </row>
    <row r="77" spans="1:17" ht="15" customHeight="1" x14ac:dyDescent="0.25">
      <c r="A77" s="10">
        <v>71</v>
      </c>
      <c r="B77" s="10">
        <f t="shared" si="12"/>
        <v>18</v>
      </c>
      <c r="C77" s="10" t="str">
        <f>IF(A77&gt;Assumptions!$B$14,"Closed",IF(A77&lt;=Assumptions!$B$12,"Moratorium","Repayment"))</f>
        <v>Closed</v>
      </c>
      <c r="D77" s="11">
        <f t="shared" si="17"/>
        <v>0</v>
      </c>
      <c r="E77" s="11">
        <f>IF(B77&gt;25,0,INDEX(Assumptions!$B$22:$B$46,B77))</f>
        <v>0</v>
      </c>
      <c r="F77" s="11">
        <f t="shared" si="13"/>
        <v>0</v>
      </c>
      <c r="G77" s="11">
        <f>D77*Assumptions!$B$16</f>
        <v>0</v>
      </c>
      <c r="H77" s="11">
        <f>F77/Assumptions!$B$11</f>
        <v>0</v>
      </c>
      <c r="I77" s="11">
        <f>IF(OR(A77&lt;=Assumptions!$B$12,A77&gt;Assumptions!$B$14),0,MAX(0,MIN(D77,H77-G77)))</f>
        <v>0</v>
      </c>
      <c r="J77" s="11">
        <f>IF(A77&gt;Assumptions!$B$14,0,MIN(SUMPRODUCT((Assumptions!$B$53:$B$57=A77)*Assumptions!$C$53:$C$57)*Assumptions!$B$50,D77-I77))</f>
        <v>0</v>
      </c>
      <c r="K77" s="11">
        <f t="shared" si="14"/>
        <v>0</v>
      </c>
      <c r="L77" s="11">
        <f t="shared" si="15"/>
        <v>0</v>
      </c>
      <c r="M77" s="12" t="str">
        <f>IF(OR(A77&gt;Assumptions!$B$14,(G77+I77)=0),"",F77/(G77+I77))</f>
        <v/>
      </c>
      <c r="N77" s="10" t="str">
        <f>IF(A77&gt;Assumptions!$B$14,"Closed",IF(A77&lt;=Assumptions!$B$12,"Moratorium",IF(D77=0,"Closed (Repaid Early)",IF(M77&lt;Assumptions!$B$11-0.005,"BREACH","PASS"))))</f>
        <v>Closed</v>
      </c>
      <c r="O77" s="40">
        <f>1/(1+Assumptions!$B$16)^(A77-Assumptions!$B$12)</f>
        <v>0.22849972253514689</v>
      </c>
      <c r="P77" s="41">
        <f>IF(AND(A77&gt;Assumptions!$B$12,A77&lt;=Assumptions!$B$14),H77*O77,0)</f>
        <v>0</v>
      </c>
      <c r="Q77" s="41">
        <f t="shared" si="16"/>
        <v>0</v>
      </c>
    </row>
    <row r="78" spans="1:17" ht="15" customHeight="1" x14ac:dyDescent="0.25">
      <c r="A78" s="13">
        <v>72</v>
      </c>
      <c r="B78" s="13">
        <f t="shared" si="12"/>
        <v>18</v>
      </c>
      <c r="C78" s="13" t="str">
        <f>IF(A78&gt;Assumptions!$B$14,"Closed",IF(A78&lt;=Assumptions!$B$12,"Moratorium","Repayment"))</f>
        <v>Closed</v>
      </c>
      <c r="D78" s="14">
        <f t="shared" si="17"/>
        <v>0</v>
      </c>
      <c r="E78" s="14">
        <f>IF(B78&gt;25,0,INDEX(Assumptions!$B$22:$B$46,B78))</f>
        <v>0</v>
      </c>
      <c r="F78" s="14">
        <f t="shared" si="13"/>
        <v>0</v>
      </c>
      <c r="G78" s="14">
        <f>D78*Assumptions!$B$16</f>
        <v>0</v>
      </c>
      <c r="H78" s="14">
        <f>F78/Assumptions!$B$11</f>
        <v>0</v>
      </c>
      <c r="I78" s="14">
        <f>IF(OR(A78&lt;=Assumptions!$B$12,A78&gt;Assumptions!$B$14),0,MAX(0,MIN(D78,H78-G78)))</f>
        <v>0</v>
      </c>
      <c r="J78" s="14">
        <f>IF(A78&gt;Assumptions!$B$14,0,MIN(SUMPRODUCT((Assumptions!$B$53:$B$57=A78)*Assumptions!$C$53:$C$57)*Assumptions!$B$50,D78-I78))</f>
        <v>0</v>
      </c>
      <c r="K78" s="14">
        <f t="shared" si="14"/>
        <v>0</v>
      </c>
      <c r="L78" s="14">
        <f t="shared" si="15"/>
        <v>0</v>
      </c>
      <c r="M78" s="15" t="str">
        <f>IF(OR(A78&gt;Assumptions!$B$14,(G78+I78)=0),"",F78/(G78+I78))</f>
        <v/>
      </c>
      <c r="N78" s="13" t="str">
        <f>IF(A78&gt;Assumptions!$B$14,"Closed",IF(A78&lt;=Assumptions!$B$12,"Moratorium",IF(D78=0,"Closed (Repaid Early)",IF(M78&lt;Assumptions!$B$11-0.005,"BREACH","PASS"))))</f>
        <v>Closed</v>
      </c>
      <c r="O78" s="40">
        <f>1/(1+Assumptions!$B$16)^(A78-Assumptions!$B$12)</f>
        <v>0.22366300994508451</v>
      </c>
      <c r="P78" s="41">
        <f>IF(AND(A78&gt;Assumptions!$B$12,A78&lt;=Assumptions!$B$14),H78*O78,0)</f>
        <v>0</v>
      </c>
      <c r="Q78" s="41">
        <f t="shared" si="16"/>
        <v>0</v>
      </c>
    </row>
    <row r="79" spans="1:17" ht="15" customHeight="1" x14ac:dyDescent="0.25">
      <c r="A79" s="10">
        <v>73</v>
      </c>
      <c r="B79" s="10">
        <f t="shared" si="12"/>
        <v>19</v>
      </c>
      <c r="C79" s="10" t="str">
        <f>IF(A79&gt;Assumptions!$B$14,"Closed",IF(A79&lt;=Assumptions!$B$12,"Moratorium","Repayment"))</f>
        <v>Closed</v>
      </c>
      <c r="D79" s="11">
        <f t="shared" si="17"/>
        <v>0</v>
      </c>
      <c r="E79" s="11">
        <f>IF(B79&gt;25,0,INDEX(Assumptions!$B$22:$B$46,B79))</f>
        <v>0</v>
      </c>
      <c r="F79" s="11">
        <f t="shared" si="13"/>
        <v>0</v>
      </c>
      <c r="G79" s="11">
        <f>D79*Assumptions!$B$16</f>
        <v>0</v>
      </c>
      <c r="H79" s="11">
        <f>F79/Assumptions!$B$11</f>
        <v>0</v>
      </c>
      <c r="I79" s="11">
        <f>IF(OR(A79&lt;=Assumptions!$B$12,A79&gt;Assumptions!$B$14),0,MAX(0,MIN(D79,H79-G79)))</f>
        <v>0</v>
      </c>
      <c r="J79" s="11">
        <f>IF(A79&gt;Assumptions!$B$14,0,MIN(SUMPRODUCT((Assumptions!$B$53:$B$57=A79)*Assumptions!$C$53:$C$57)*Assumptions!$B$50,D79-I79))</f>
        <v>0</v>
      </c>
      <c r="K79" s="11">
        <f t="shared" si="14"/>
        <v>0</v>
      </c>
      <c r="L79" s="11">
        <f t="shared" si="15"/>
        <v>0</v>
      </c>
      <c r="M79" s="12" t="str">
        <f>IF(OR(A79&gt;Assumptions!$B$14,(G79+I79)=0),"",F79/(G79+I79))</f>
        <v/>
      </c>
      <c r="N79" s="10" t="str">
        <f>IF(A79&gt;Assumptions!$B$14,"Closed",IF(A79&lt;=Assumptions!$B$12,"Moratorium",IF(D79=0,"Closed (Repaid Early)",IF(M79&lt;Assumptions!$B$11-0.005,"BREACH","PASS"))))</f>
        <v>Closed</v>
      </c>
      <c r="O79" s="40">
        <f>1/(1+Assumptions!$B$16)^(A79-Assumptions!$B$12)</f>
        <v>0.21892867729850435</v>
      </c>
      <c r="P79" s="41">
        <f>IF(AND(A79&gt;Assumptions!$B$12,A79&lt;=Assumptions!$B$14),H79*O79,0)</f>
        <v>0</v>
      </c>
      <c r="Q79" s="41">
        <f t="shared" si="16"/>
        <v>0</v>
      </c>
    </row>
    <row r="80" spans="1:17" ht="15" customHeight="1" x14ac:dyDescent="0.25">
      <c r="A80" s="13">
        <v>74</v>
      </c>
      <c r="B80" s="13">
        <f t="shared" si="12"/>
        <v>19</v>
      </c>
      <c r="C80" s="13" t="str">
        <f>IF(A80&gt;Assumptions!$B$14,"Closed",IF(A80&lt;=Assumptions!$B$12,"Moratorium","Repayment"))</f>
        <v>Closed</v>
      </c>
      <c r="D80" s="14">
        <f t="shared" si="17"/>
        <v>0</v>
      </c>
      <c r="E80" s="14">
        <f>IF(B80&gt;25,0,INDEX(Assumptions!$B$22:$B$46,B80))</f>
        <v>0</v>
      </c>
      <c r="F80" s="14">
        <f t="shared" si="13"/>
        <v>0</v>
      </c>
      <c r="G80" s="14">
        <f>D80*Assumptions!$B$16</f>
        <v>0</v>
      </c>
      <c r="H80" s="14">
        <f>F80/Assumptions!$B$11</f>
        <v>0</v>
      </c>
      <c r="I80" s="14">
        <f>IF(OR(A80&lt;=Assumptions!$B$12,A80&gt;Assumptions!$B$14),0,MAX(0,MIN(D80,H80-G80)))</f>
        <v>0</v>
      </c>
      <c r="J80" s="14">
        <f>IF(A80&gt;Assumptions!$B$14,0,MIN(SUMPRODUCT((Assumptions!$B$53:$B$57=A80)*Assumptions!$C$53:$C$57)*Assumptions!$B$50,D80-I80))</f>
        <v>0</v>
      </c>
      <c r="K80" s="14">
        <f t="shared" si="14"/>
        <v>0</v>
      </c>
      <c r="L80" s="14">
        <f t="shared" si="15"/>
        <v>0</v>
      </c>
      <c r="M80" s="15" t="str">
        <f>IF(OR(A80&gt;Assumptions!$B$14,(G80+I80)=0),"",F80/(G80+I80))</f>
        <v/>
      </c>
      <c r="N80" s="13" t="str">
        <f>IF(A80&gt;Assumptions!$B$14,"Closed",IF(A80&lt;=Assumptions!$B$12,"Moratorium",IF(D80=0,"Closed (Repaid Early)",IF(M80&lt;Assumptions!$B$11-0.005,"BREACH","PASS"))))</f>
        <v>Closed</v>
      </c>
      <c r="O80" s="40">
        <f>1/(1+Assumptions!$B$16)^(A80-Assumptions!$B$12)</f>
        <v>0.21429455749272419</v>
      </c>
      <c r="P80" s="41">
        <f>IF(AND(A80&gt;Assumptions!$B$12,A80&lt;=Assumptions!$B$14),H80*O80,0)</f>
        <v>0</v>
      </c>
      <c r="Q80" s="41">
        <f t="shared" si="16"/>
        <v>0</v>
      </c>
    </row>
    <row r="81" spans="1:17" ht="15" customHeight="1" x14ac:dyDescent="0.25">
      <c r="A81" s="10">
        <v>75</v>
      </c>
      <c r="B81" s="10">
        <f t="shared" si="12"/>
        <v>19</v>
      </c>
      <c r="C81" s="10" t="str">
        <f>IF(A81&gt;Assumptions!$B$14,"Closed",IF(A81&lt;=Assumptions!$B$12,"Moratorium","Repayment"))</f>
        <v>Closed</v>
      </c>
      <c r="D81" s="11">
        <f t="shared" si="17"/>
        <v>0</v>
      </c>
      <c r="E81" s="11">
        <f>IF(B81&gt;25,0,INDEX(Assumptions!$B$22:$B$46,B81))</f>
        <v>0</v>
      </c>
      <c r="F81" s="11">
        <f t="shared" si="13"/>
        <v>0</v>
      </c>
      <c r="G81" s="11">
        <f>D81*Assumptions!$B$16</f>
        <v>0</v>
      </c>
      <c r="H81" s="11">
        <f>F81/Assumptions!$B$11</f>
        <v>0</v>
      </c>
      <c r="I81" s="11">
        <f>IF(OR(A81&lt;=Assumptions!$B$12,A81&gt;Assumptions!$B$14),0,MAX(0,MIN(D81,H81-G81)))</f>
        <v>0</v>
      </c>
      <c r="J81" s="11">
        <f>IF(A81&gt;Assumptions!$B$14,0,MIN(SUMPRODUCT((Assumptions!$B$53:$B$57=A81)*Assumptions!$C$53:$C$57)*Assumptions!$B$50,D81-I81))</f>
        <v>0</v>
      </c>
      <c r="K81" s="11">
        <f t="shared" si="14"/>
        <v>0</v>
      </c>
      <c r="L81" s="11">
        <f t="shared" si="15"/>
        <v>0</v>
      </c>
      <c r="M81" s="12" t="str">
        <f>IF(OR(A81&gt;Assumptions!$B$14,(G81+I81)=0),"",F81/(G81+I81))</f>
        <v/>
      </c>
      <c r="N81" s="10" t="str">
        <f>IF(A81&gt;Assumptions!$B$14,"Closed",IF(A81&lt;=Assumptions!$B$12,"Moratorium",IF(D81=0,"Closed (Repaid Early)",IF(M81&lt;Assumptions!$B$11-0.005,"BREACH","PASS"))))</f>
        <v>Closed</v>
      </c>
      <c r="O81" s="40">
        <f>1/(1+Assumptions!$B$16)^(A81-Assumptions!$B$12)</f>
        <v>0.2097585292966834</v>
      </c>
      <c r="P81" s="41">
        <f>IF(AND(A81&gt;Assumptions!$B$12,A81&lt;=Assumptions!$B$14),H81*O81,0)</f>
        <v>0</v>
      </c>
      <c r="Q81" s="41">
        <f t="shared" si="16"/>
        <v>0</v>
      </c>
    </row>
    <row r="82" spans="1:17" ht="15" customHeight="1" x14ac:dyDescent="0.25">
      <c r="A82" s="13">
        <v>76</v>
      </c>
      <c r="B82" s="13">
        <f t="shared" si="12"/>
        <v>19</v>
      </c>
      <c r="C82" s="13" t="str">
        <f>IF(A82&gt;Assumptions!$B$14,"Closed",IF(A82&lt;=Assumptions!$B$12,"Moratorium","Repayment"))</f>
        <v>Closed</v>
      </c>
      <c r="D82" s="14">
        <f t="shared" si="17"/>
        <v>0</v>
      </c>
      <c r="E82" s="14">
        <f>IF(B82&gt;25,0,INDEX(Assumptions!$B$22:$B$46,B82))</f>
        <v>0</v>
      </c>
      <c r="F82" s="14">
        <f t="shared" si="13"/>
        <v>0</v>
      </c>
      <c r="G82" s="14">
        <f>D82*Assumptions!$B$16</f>
        <v>0</v>
      </c>
      <c r="H82" s="14">
        <f>F82/Assumptions!$B$11</f>
        <v>0</v>
      </c>
      <c r="I82" s="14">
        <f>IF(OR(A82&lt;=Assumptions!$B$12,A82&gt;Assumptions!$B$14),0,MAX(0,MIN(D82,H82-G82)))</f>
        <v>0</v>
      </c>
      <c r="J82" s="14">
        <f>IF(A82&gt;Assumptions!$B$14,0,MIN(SUMPRODUCT((Assumptions!$B$53:$B$57=A82)*Assumptions!$C$53:$C$57)*Assumptions!$B$50,D82-I82))</f>
        <v>0</v>
      </c>
      <c r="K82" s="14">
        <f t="shared" si="14"/>
        <v>0</v>
      </c>
      <c r="L82" s="14">
        <f t="shared" si="15"/>
        <v>0</v>
      </c>
      <c r="M82" s="15" t="str">
        <f>IF(OR(A82&gt;Assumptions!$B$14,(G82+I82)=0),"",F82/(G82+I82))</f>
        <v/>
      </c>
      <c r="N82" s="13" t="str">
        <f>IF(A82&gt;Assumptions!$B$14,"Closed",IF(A82&lt;=Assumptions!$B$12,"Moratorium",IF(D82=0,"Closed (Repaid Early)",IF(M82&lt;Assumptions!$B$11-0.005,"BREACH","PASS"))))</f>
        <v>Closed</v>
      </c>
      <c r="O82" s="40">
        <f>1/(1+Assumptions!$B$16)^(A82-Assumptions!$B$12)</f>
        <v>0.20531851637996662</v>
      </c>
      <c r="P82" s="41">
        <f>IF(AND(A82&gt;Assumptions!$B$12,A82&lt;=Assumptions!$B$14),H82*O82,0)</f>
        <v>0</v>
      </c>
      <c r="Q82" s="41">
        <f t="shared" si="16"/>
        <v>0</v>
      </c>
    </row>
    <row r="83" spans="1:17" ht="15" customHeight="1" x14ac:dyDescent="0.25">
      <c r="A83" s="10">
        <v>77</v>
      </c>
      <c r="B83" s="10">
        <f t="shared" si="12"/>
        <v>20</v>
      </c>
      <c r="C83" s="10" t="str">
        <f>IF(A83&gt;Assumptions!$B$14,"Closed",IF(A83&lt;=Assumptions!$B$12,"Moratorium","Repayment"))</f>
        <v>Closed</v>
      </c>
      <c r="D83" s="11">
        <f t="shared" si="17"/>
        <v>0</v>
      </c>
      <c r="E83" s="11">
        <f>IF(B83&gt;25,0,INDEX(Assumptions!$B$22:$B$46,B83))</f>
        <v>0</v>
      </c>
      <c r="F83" s="11">
        <f t="shared" si="13"/>
        <v>0</v>
      </c>
      <c r="G83" s="11">
        <f>D83*Assumptions!$B$16</f>
        <v>0</v>
      </c>
      <c r="H83" s="11">
        <f>F83/Assumptions!$B$11</f>
        <v>0</v>
      </c>
      <c r="I83" s="11">
        <f>IF(OR(A83&lt;=Assumptions!$B$12,A83&gt;Assumptions!$B$14),0,MAX(0,MIN(D83,H83-G83)))</f>
        <v>0</v>
      </c>
      <c r="J83" s="11">
        <f>IF(A83&gt;Assumptions!$B$14,0,MIN(SUMPRODUCT((Assumptions!$B$53:$B$57=A83)*Assumptions!$C$53:$C$57)*Assumptions!$B$50,D83-I83))</f>
        <v>0</v>
      </c>
      <c r="K83" s="11">
        <f t="shared" si="14"/>
        <v>0</v>
      </c>
      <c r="L83" s="11">
        <f t="shared" si="15"/>
        <v>0</v>
      </c>
      <c r="M83" s="12" t="str">
        <f>IF(OR(A83&gt;Assumptions!$B$14,(G83+I83)=0),"",F83/(G83+I83))</f>
        <v/>
      </c>
      <c r="N83" s="10" t="str">
        <f>IF(A83&gt;Assumptions!$B$14,"Closed",IF(A83&lt;=Assumptions!$B$12,"Moratorium",IF(D83=0,"Closed (Repaid Early)",IF(M83&lt;Assumptions!$B$11-0.005,"BREACH","PASS"))))</f>
        <v>Closed</v>
      </c>
      <c r="O83" s="40">
        <f>1/(1+Assumptions!$B$16)^(A83-Assumptions!$B$12)</f>
        <v>0.20097248636238016</v>
      </c>
      <c r="P83" s="41">
        <f>IF(AND(A83&gt;Assumptions!$B$12,A83&lt;=Assumptions!$B$14),H83*O83,0)</f>
        <v>0</v>
      </c>
      <c r="Q83" s="41">
        <f t="shared" si="16"/>
        <v>0</v>
      </c>
    </row>
    <row r="84" spans="1:17" ht="15" customHeight="1" x14ac:dyDescent="0.25">
      <c r="A84" s="13">
        <v>78</v>
      </c>
      <c r="B84" s="13">
        <f t="shared" si="12"/>
        <v>20</v>
      </c>
      <c r="C84" s="13" t="str">
        <f>IF(A84&gt;Assumptions!$B$14,"Closed",IF(A84&lt;=Assumptions!$B$12,"Moratorium","Repayment"))</f>
        <v>Closed</v>
      </c>
      <c r="D84" s="14">
        <f t="shared" si="17"/>
        <v>0</v>
      </c>
      <c r="E84" s="14">
        <f>IF(B84&gt;25,0,INDEX(Assumptions!$B$22:$B$46,B84))</f>
        <v>0</v>
      </c>
      <c r="F84" s="14">
        <f t="shared" si="13"/>
        <v>0</v>
      </c>
      <c r="G84" s="14">
        <f>D84*Assumptions!$B$16</f>
        <v>0</v>
      </c>
      <c r="H84" s="14">
        <f>F84/Assumptions!$B$11</f>
        <v>0</v>
      </c>
      <c r="I84" s="14">
        <f>IF(OR(A84&lt;=Assumptions!$B$12,A84&gt;Assumptions!$B$14),0,MAX(0,MIN(D84,H84-G84)))</f>
        <v>0</v>
      </c>
      <c r="J84" s="14">
        <f>IF(A84&gt;Assumptions!$B$14,0,MIN(SUMPRODUCT((Assumptions!$B$53:$B$57=A84)*Assumptions!$C$53:$C$57)*Assumptions!$B$50,D84-I84))</f>
        <v>0</v>
      </c>
      <c r="K84" s="14">
        <f t="shared" si="14"/>
        <v>0</v>
      </c>
      <c r="L84" s="14">
        <f t="shared" si="15"/>
        <v>0</v>
      </c>
      <c r="M84" s="15" t="str">
        <f>IF(OR(A84&gt;Assumptions!$B$14,(G84+I84)=0),"",F84/(G84+I84))</f>
        <v/>
      </c>
      <c r="N84" s="13" t="str">
        <f>IF(A84&gt;Assumptions!$B$14,"Closed",IF(A84&lt;=Assumptions!$B$12,"Moratorium",IF(D84=0,"Closed (Repaid Early)",IF(M84&lt;Assumptions!$B$11-0.005,"BREACH","PASS"))))</f>
        <v>Closed</v>
      </c>
      <c r="O84" s="40">
        <f>1/(1+Assumptions!$B$16)^(A84-Assumptions!$B$12)</f>
        <v>0.19671844988364631</v>
      </c>
      <c r="P84" s="41">
        <f>IF(AND(A84&gt;Assumptions!$B$12,A84&lt;=Assumptions!$B$14),H84*O84,0)</f>
        <v>0</v>
      </c>
      <c r="Q84" s="41">
        <f t="shared" si="16"/>
        <v>0</v>
      </c>
    </row>
    <row r="85" spans="1:17" ht="15" customHeight="1" x14ac:dyDescent="0.25">
      <c r="A85" s="10">
        <v>79</v>
      </c>
      <c r="B85" s="10">
        <f t="shared" si="12"/>
        <v>20</v>
      </c>
      <c r="C85" s="10" t="str">
        <f>IF(A85&gt;Assumptions!$B$14,"Closed",IF(A85&lt;=Assumptions!$B$12,"Moratorium","Repayment"))</f>
        <v>Closed</v>
      </c>
      <c r="D85" s="11">
        <f t="shared" si="17"/>
        <v>0</v>
      </c>
      <c r="E85" s="11">
        <f>IF(B85&gt;25,0,INDEX(Assumptions!$B$22:$B$46,B85))</f>
        <v>0</v>
      </c>
      <c r="F85" s="11">
        <f t="shared" si="13"/>
        <v>0</v>
      </c>
      <c r="G85" s="11">
        <f>D85*Assumptions!$B$16</f>
        <v>0</v>
      </c>
      <c r="H85" s="11">
        <f>F85/Assumptions!$B$11</f>
        <v>0</v>
      </c>
      <c r="I85" s="11">
        <f>IF(OR(A85&lt;=Assumptions!$B$12,A85&gt;Assumptions!$B$14),0,MAX(0,MIN(D85,H85-G85)))</f>
        <v>0</v>
      </c>
      <c r="J85" s="11">
        <f>IF(A85&gt;Assumptions!$B$14,0,MIN(SUMPRODUCT((Assumptions!$B$53:$B$57=A85)*Assumptions!$C$53:$C$57)*Assumptions!$B$50,D85-I85))</f>
        <v>0</v>
      </c>
      <c r="K85" s="11">
        <f t="shared" si="14"/>
        <v>0</v>
      </c>
      <c r="L85" s="11">
        <f t="shared" si="15"/>
        <v>0</v>
      </c>
      <c r="M85" s="12" t="str">
        <f>IF(OR(A85&gt;Assumptions!$B$14,(G85+I85)=0),"",F85/(G85+I85))</f>
        <v/>
      </c>
      <c r="N85" s="10" t="str">
        <f>IF(A85&gt;Assumptions!$B$14,"Closed",IF(A85&lt;=Assumptions!$B$12,"Moratorium",IF(D85=0,"Closed (Repaid Early)",IF(M85&lt;Assumptions!$B$11-0.005,"BREACH","PASS"))))</f>
        <v>Closed</v>
      </c>
      <c r="O85" s="40">
        <f>1/(1+Assumptions!$B$16)^(A85-Assumptions!$B$12)</f>
        <v>0.19255445969278975</v>
      </c>
      <c r="P85" s="41">
        <f>IF(AND(A85&gt;Assumptions!$B$12,A85&lt;=Assumptions!$B$14),H85*O85,0)</f>
        <v>0</v>
      </c>
      <c r="Q85" s="41">
        <f t="shared" si="16"/>
        <v>0</v>
      </c>
    </row>
    <row r="86" spans="1:17" ht="15" customHeight="1" x14ac:dyDescent="0.25">
      <c r="A86" s="13">
        <v>80</v>
      </c>
      <c r="B86" s="13">
        <f t="shared" si="12"/>
        <v>20</v>
      </c>
      <c r="C86" s="13" t="str">
        <f>IF(A86&gt;Assumptions!$B$14,"Closed",IF(A86&lt;=Assumptions!$B$12,"Moratorium","Repayment"))</f>
        <v>Closed</v>
      </c>
      <c r="D86" s="14">
        <f t="shared" si="17"/>
        <v>0</v>
      </c>
      <c r="E86" s="14">
        <f>IF(B86&gt;25,0,INDEX(Assumptions!$B$22:$B$46,B86))</f>
        <v>0</v>
      </c>
      <c r="F86" s="14">
        <f t="shared" si="13"/>
        <v>0</v>
      </c>
      <c r="G86" s="14">
        <f>D86*Assumptions!$B$16</f>
        <v>0</v>
      </c>
      <c r="H86" s="14">
        <f>F86/Assumptions!$B$11</f>
        <v>0</v>
      </c>
      <c r="I86" s="14">
        <f>IF(OR(A86&lt;=Assumptions!$B$12,A86&gt;Assumptions!$B$14),0,MAX(0,MIN(D86,H86-G86)))</f>
        <v>0</v>
      </c>
      <c r="J86" s="14">
        <f>IF(A86&gt;Assumptions!$B$14,0,MIN(SUMPRODUCT((Assumptions!$B$53:$B$57=A86)*Assumptions!$C$53:$C$57)*Assumptions!$B$50,D86-I86))</f>
        <v>0</v>
      </c>
      <c r="K86" s="14">
        <f t="shared" si="14"/>
        <v>0</v>
      </c>
      <c r="L86" s="14">
        <f t="shared" si="15"/>
        <v>0</v>
      </c>
      <c r="M86" s="15" t="str">
        <f>IF(OR(A86&gt;Assumptions!$B$14,(G86+I86)=0),"",F86/(G86+I86))</f>
        <v/>
      </c>
      <c r="N86" s="13" t="str">
        <f>IF(A86&gt;Assumptions!$B$14,"Closed",IF(A86&lt;=Assumptions!$B$12,"Moratorium",IF(D86=0,"Closed (Repaid Early)",IF(M86&lt;Assumptions!$B$11-0.005,"BREACH","PASS"))))</f>
        <v>Closed</v>
      </c>
      <c r="O86" s="40">
        <f>1/(1+Assumptions!$B$16)^(A86-Assumptions!$B$12)</f>
        <v>0.188478609756799</v>
      </c>
      <c r="P86" s="41">
        <f>IF(AND(A86&gt;Assumptions!$B$12,A86&lt;=Assumptions!$B$14),H86*O86,0)</f>
        <v>0</v>
      </c>
      <c r="Q86" s="41">
        <f t="shared" si="16"/>
        <v>0</v>
      </c>
    </row>
    <row r="87" spans="1:17" ht="15" customHeight="1" x14ac:dyDescent="0.25">
      <c r="A87" s="10">
        <v>81</v>
      </c>
      <c r="B87" s="10">
        <f t="shared" si="12"/>
        <v>21</v>
      </c>
      <c r="C87" s="10" t="str">
        <f>IF(A87&gt;Assumptions!$B$14,"Closed",IF(A87&lt;=Assumptions!$B$12,"Moratorium","Repayment"))</f>
        <v>Closed</v>
      </c>
      <c r="D87" s="11">
        <f t="shared" si="17"/>
        <v>0</v>
      </c>
      <c r="E87" s="11">
        <f>IF(B87&gt;25,0,INDEX(Assumptions!$B$22:$B$46,B87))</f>
        <v>0</v>
      </c>
      <c r="F87" s="11">
        <f t="shared" si="13"/>
        <v>0</v>
      </c>
      <c r="G87" s="11">
        <f>D87*Assumptions!$B$16</f>
        <v>0</v>
      </c>
      <c r="H87" s="11">
        <f>F87/Assumptions!$B$11</f>
        <v>0</v>
      </c>
      <c r="I87" s="11">
        <f>IF(OR(A87&lt;=Assumptions!$B$12,A87&gt;Assumptions!$B$14),0,MAX(0,MIN(D87,H87-G87)))</f>
        <v>0</v>
      </c>
      <c r="J87" s="11">
        <f>IF(A87&gt;Assumptions!$B$14,0,MIN(SUMPRODUCT((Assumptions!$B$53:$B$57=A87)*Assumptions!$C$53:$C$57)*Assumptions!$B$50,D87-I87))</f>
        <v>0</v>
      </c>
      <c r="K87" s="11">
        <f t="shared" si="14"/>
        <v>0</v>
      </c>
      <c r="L87" s="11">
        <f t="shared" si="15"/>
        <v>0</v>
      </c>
      <c r="M87" s="12" t="str">
        <f>IF(OR(A87&gt;Assumptions!$B$14,(G87+I87)=0),"",F87/(G87+I87))</f>
        <v/>
      </c>
      <c r="N87" s="10" t="str">
        <f>IF(A87&gt;Assumptions!$B$14,"Closed",IF(A87&lt;=Assumptions!$B$12,"Moratorium",IF(D87=0,"Closed (Repaid Early)",IF(M87&lt;Assumptions!$B$11-0.005,"BREACH","PASS"))))</f>
        <v>Closed</v>
      </c>
      <c r="O87" s="40">
        <f>1/(1+Assumptions!$B$16)^(A87-Assumptions!$B$12)</f>
        <v>0.18448903438815514</v>
      </c>
      <c r="P87" s="41">
        <f>IF(AND(A87&gt;Assumptions!$B$12,A87&lt;=Assumptions!$B$14),H87*O87,0)</f>
        <v>0</v>
      </c>
      <c r="Q87" s="41">
        <f t="shared" si="16"/>
        <v>0</v>
      </c>
    </row>
    <row r="88" spans="1:17" ht="15" customHeight="1" x14ac:dyDescent="0.25">
      <c r="A88" s="13">
        <v>82</v>
      </c>
      <c r="B88" s="13">
        <f t="shared" si="12"/>
        <v>21</v>
      </c>
      <c r="C88" s="13" t="str">
        <f>IF(A88&gt;Assumptions!$B$14,"Closed",IF(A88&lt;=Assumptions!$B$12,"Moratorium","Repayment"))</f>
        <v>Closed</v>
      </c>
      <c r="D88" s="14">
        <f t="shared" si="17"/>
        <v>0</v>
      </c>
      <c r="E88" s="14">
        <f>IF(B88&gt;25,0,INDEX(Assumptions!$B$22:$B$46,B88))</f>
        <v>0</v>
      </c>
      <c r="F88" s="14">
        <f t="shared" si="13"/>
        <v>0</v>
      </c>
      <c r="G88" s="14">
        <f>D88*Assumptions!$B$16</f>
        <v>0</v>
      </c>
      <c r="H88" s="14">
        <f>F88/Assumptions!$B$11</f>
        <v>0</v>
      </c>
      <c r="I88" s="14">
        <f>IF(OR(A88&lt;=Assumptions!$B$12,A88&gt;Assumptions!$B$14),0,MAX(0,MIN(D88,H88-G88)))</f>
        <v>0</v>
      </c>
      <c r="J88" s="14">
        <f>IF(A88&gt;Assumptions!$B$14,0,MIN(SUMPRODUCT((Assumptions!$B$53:$B$57=A88)*Assumptions!$C$53:$C$57)*Assumptions!$B$50,D88-I88))</f>
        <v>0</v>
      </c>
      <c r="K88" s="14">
        <f t="shared" si="14"/>
        <v>0</v>
      </c>
      <c r="L88" s="14">
        <f t="shared" si="15"/>
        <v>0</v>
      </c>
      <c r="M88" s="15" t="str">
        <f>IF(OR(A88&gt;Assumptions!$B$14,(G88+I88)=0),"",F88/(G88+I88))</f>
        <v/>
      </c>
      <c r="N88" s="13" t="str">
        <f>IF(A88&gt;Assumptions!$B$14,"Closed",IF(A88&lt;=Assumptions!$B$12,"Moratorium",IF(D88=0,"Closed (Repaid Early)",IF(M88&lt;Assumptions!$B$11-0.005,"BREACH","PASS"))))</f>
        <v>Closed</v>
      </c>
      <c r="O88" s="40">
        <f>1/(1+Assumptions!$B$16)^(A88-Assumptions!$B$12)</f>
        <v>0.18058390739082847</v>
      </c>
      <c r="P88" s="41">
        <f>IF(AND(A88&gt;Assumptions!$B$12,A88&lt;=Assumptions!$B$14),H88*O88,0)</f>
        <v>0</v>
      </c>
      <c r="Q88" s="41">
        <f t="shared" si="16"/>
        <v>0</v>
      </c>
    </row>
    <row r="89" spans="1:17" ht="15" customHeight="1" x14ac:dyDescent="0.25">
      <c r="A89" s="10">
        <v>83</v>
      </c>
      <c r="B89" s="10">
        <f t="shared" si="12"/>
        <v>21</v>
      </c>
      <c r="C89" s="10" t="str">
        <f>IF(A89&gt;Assumptions!$B$14,"Closed",IF(A89&lt;=Assumptions!$B$12,"Moratorium","Repayment"))</f>
        <v>Closed</v>
      </c>
      <c r="D89" s="11">
        <f t="shared" si="17"/>
        <v>0</v>
      </c>
      <c r="E89" s="11">
        <f>IF(B89&gt;25,0,INDEX(Assumptions!$B$22:$B$46,B89))</f>
        <v>0</v>
      </c>
      <c r="F89" s="11">
        <f t="shared" si="13"/>
        <v>0</v>
      </c>
      <c r="G89" s="11">
        <f>D89*Assumptions!$B$16</f>
        <v>0</v>
      </c>
      <c r="H89" s="11">
        <f>F89/Assumptions!$B$11</f>
        <v>0</v>
      </c>
      <c r="I89" s="11">
        <f>IF(OR(A89&lt;=Assumptions!$B$12,A89&gt;Assumptions!$B$14),0,MAX(0,MIN(D89,H89-G89)))</f>
        <v>0</v>
      </c>
      <c r="J89" s="11">
        <f>IF(A89&gt;Assumptions!$B$14,0,MIN(SUMPRODUCT((Assumptions!$B$53:$B$57=A89)*Assumptions!$C$53:$C$57)*Assumptions!$B$50,D89-I89))</f>
        <v>0</v>
      </c>
      <c r="K89" s="11">
        <f t="shared" si="14"/>
        <v>0</v>
      </c>
      <c r="L89" s="11">
        <f t="shared" si="15"/>
        <v>0</v>
      </c>
      <c r="M89" s="12" t="str">
        <f>IF(OR(A89&gt;Assumptions!$B$14,(G89+I89)=0),"",F89/(G89+I89))</f>
        <v/>
      </c>
      <c r="N89" s="10" t="str">
        <f>IF(A89&gt;Assumptions!$B$14,"Closed",IF(A89&lt;=Assumptions!$B$12,"Moratorium",IF(D89=0,"Closed (Repaid Early)",IF(M89&lt;Assumptions!$B$11-0.005,"BREACH","PASS"))))</f>
        <v>Closed</v>
      </c>
      <c r="O89" s="40">
        <f>1/(1+Assumptions!$B$16)^(A89-Assumptions!$B$12)</f>
        <v>0.17676144122435186</v>
      </c>
      <c r="P89" s="41">
        <f>IF(AND(A89&gt;Assumptions!$B$12,A89&lt;=Assumptions!$B$14),H89*O89,0)</f>
        <v>0</v>
      </c>
      <c r="Q89" s="41">
        <f t="shared" si="16"/>
        <v>0</v>
      </c>
    </row>
    <row r="90" spans="1:17" ht="15" customHeight="1" x14ac:dyDescent="0.25">
      <c r="A90" s="13">
        <v>84</v>
      </c>
      <c r="B90" s="13">
        <f t="shared" si="12"/>
        <v>21</v>
      </c>
      <c r="C90" s="13" t="str">
        <f>IF(A90&gt;Assumptions!$B$14,"Closed",IF(A90&lt;=Assumptions!$B$12,"Moratorium","Repayment"))</f>
        <v>Closed</v>
      </c>
      <c r="D90" s="14">
        <f t="shared" si="17"/>
        <v>0</v>
      </c>
      <c r="E90" s="14">
        <f>IF(B90&gt;25,0,INDEX(Assumptions!$B$22:$B$46,B90))</f>
        <v>0</v>
      </c>
      <c r="F90" s="14">
        <f t="shared" si="13"/>
        <v>0</v>
      </c>
      <c r="G90" s="14">
        <f>D90*Assumptions!$B$16</f>
        <v>0</v>
      </c>
      <c r="H90" s="14">
        <f>F90/Assumptions!$B$11</f>
        <v>0</v>
      </c>
      <c r="I90" s="14">
        <f>IF(OR(A90&lt;=Assumptions!$B$12,A90&gt;Assumptions!$B$14),0,MAX(0,MIN(D90,H90-G90)))</f>
        <v>0</v>
      </c>
      <c r="J90" s="14">
        <f>IF(A90&gt;Assumptions!$B$14,0,MIN(SUMPRODUCT((Assumptions!$B$53:$B$57=A90)*Assumptions!$C$53:$C$57)*Assumptions!$B$50,D90-I90))</f>
        <v>0</v>
      </c>
      <c r="K90" s="14">
        <f t="shared" si="14"/>
        <v>0</v>
      </c>
      <c r="L90" s="14">
        <f t="shared" si="15"/>
        <v>0</v>
      </c>
      <c r="M90" s="15" t="str">
        <f>IF(OR(A90&gt;Assumptions!$B$14,(G90+I90)=0),"",F90/(G90+I90))</f>
        <v/>
      </c>
      <c r="N90" s="13" t="str">
        <f>IF(A90&gt;Assumptions!$B$14,"Closed",IF(A90&lt;=Assumptions!$B$12,"Moratorium",IF(D90=0,"Closed (Repaid Early)",IF(M90&lt;Assumptions!$B$11-0.005,"BREACH","PASS"))))</f>
        <v>Closed</v>
      </c>
      <c r="O90" s="40">
        <f>1/(1+Assumptions!$B$16)^(A90-Assumptions!$B$12)</f>
        <v>0.17301988618558853</v>
      </c>
      <c r="P90" s="41">
        <f>IF(AND(A90&gt;Assumptions!$B$12,A90&lt;=Assumptions!$B$14),H90*O90,0)</f>
        <v>0</v>
      </c>
      <c r="Q90" s="41">
        <f t="shared" si="16"/>
        <v>0</v>
      </c>
    </row>
    <row r="91" spans="1:17" ht="15" customHeight="1" x14ac:dyDescent="0.25">
      <c r="A91" s="10">
        <v>85</v>
      </c>
      <c r="B91" s="10">
        <f t="shared" si="12"/>
        <v>22</v>
      </c>
      <c r="C91" s="10" t="str">
        <f>IF(A91&gt;Assumptions!$B$14,"Closed",IF(A91&lt;=Assumptions!$B$12,"Moratorium","Repayment"))</f>
        <v>Closed</v>
      </c>
      <c r="D91" s="11">
        <f t="shared" si="17"/>
        <v>0</v>
      </c>
      <c r="E91" s="11">
        <f>IF(B91&gt;25,0,INDEX(Assumptions!$B$22:$B$46,B91))</f>
        <v>0</v>
      </c>
      <c r="F91" s="11">
        <f t="shared" si="13"/>
        <v>0</v>
      </c>
      <c r="G91" s="11">
        <f>D91*Assumptions!$B$16</f>
        <v>0</v>
      </c>
      <c r="H91" s="11">
        <f>F91/Assumptions!$B$11</f>
        <v>0</v>
      </c>
      <c r="I91" s="11">
        <f>IF(OR(A91&lt;=Assumptions!$B$12,A91&gt;Assumptions!$B$14),0,MAX(0,MIN(D91,H91-G91)))</f>
        <v>0</v>
      </c>
      <c r="J91" s="11">
        <f>IF(A91&gt;Assumptions!$B$14,0,MIN(SUMPRODUCT((Assumptions!$B$53:$B$57=A91)*Assumptions!$C$53:$C$57)*Assumptions!$B$50,D91-I91))</f>
        <v>0</v>
      </c>
      <c r="K91" s="11">
        <f t="shared" si="14"/>
        <v>0</v>
      </c>
      <c r="L91" s="11">
        <f t="shared" si="15"/>
        <v>0</v>
      </c>
      <c r="M91" s="12" t="str">
        <f>IF(OR(A91&gt;Assumptions!$B$14,(G91+I91)=0),"",F91/(G91+I91))</f>
        <v/>
      </c>
      <c r="N91" s="10" t="str">
        <f>IF(A91&gt;Assumptions!$B$14,"Closed",IF(A91&lt;=Assumptions!$B$12,"Moratorium",IF(D91=0,"Closed (Repaid Early)",IF(M91&lt;Assumptions!$B$11-0.005,"BREACH","PASS"))))</f>
        <v>Closed</v>
      </c>
      <c r="O91" s="40">
        <f>1/(1+Assumptions!$B$16)^(A91-Assumptions!$B$12)</f>
        <v>0.16935752960781944</v>
      </c>
      <c r="P91" s="41">
        <f>IF(AND(A91&gt;Assumptions!$B$12,A91&lt;=Assumptions!$B$14),H91*O91,0)</f>
        <v>0</v>
      </c>
      <c r="Q91" s="41">
        <f t="shared" si="16"/>
        <v>0</v>
      </c>
    </row>
    <row r="92" spans="1:17" ht="15" customHeight="1" x14ac:dyDescent="0.25">
      <c r="A92" s="13">
        <v>86</v>
      </c>
      <c r="B92" s="13">
        <f t="shared" si="12"/>
        <v>22</v>
      </c>
      <c r="C92" s="13" t="str">
        <f>IF(A92&gt;Assumptions!$B$14,"Closed",IF(A92&lt;=Assumptions!$B$12,"Moratorium","Repayment"))</f>
        <v>Closed</v>
      </c>
      <c r="D92" s="14">
        <f t="shared" si="17"/>
        <v>0</v>
      </c>
      <c r="E92" s="14">
        <f>IF(B92&gt;25,0,INDEX(Assumptions!$B$22:$B$46,B92))</f>
        <v>0</v>
      </c>
      <c r="F92" s="14">
        <f t="shared" si="13"/>
        <v>0</v>
      </c>
      <c r="G92" s="14">
        <f>D92*Assumptions!$B$16</f>
        <v>0</v>
      </c>
      <c r="H92" s="14">
        <f>F92/Assumptions!$B$11</f>
        <v>0</v>
      </c>
      <c r="I92" s="14">
        <f>IF(OR(A92&lt;=Assumptions!$B$12,A92&gt;Assumptions!$B$14),0,MAX(0,MIN(D92,H92-G92)))</f>
        <v>0</v>
      </c>
      <c r="J92" s="14">
        <f>IF(A92&gt;Assumptions!$B$14,0,MIN(SUMPRODUCT((Assumptions!$B$53:$B$57=A92)*Assumptions!$C$53:$C$57)*Assumptions!$B$50,D92-I92))</f>
        <v>0</v>
      </c>
      <c r="K92" s="14">
        <f t="shared" si="14"/>
        <v>0</v>
      </c>
      <c r="L92" s="14">
        <f t="shared" si="15"/>
        <v>0</v>
      </c>
      <c r="M92" s="15" t="str">
        <f>IF(OR(A92&gt;Assumptions!$B$14,(G92+I92)=0),"",F92/(G92+I92))</f>
        <v/>
      </c>
      <c r="N92" s="13" t="str">
        <f>IF(A92&gt;Assumptions!$B$14,"Closed",IF(A92&lt;=Assumptions!$B$12,"Moratorium",IF(D92=0,"Closed (Repaid Early)",IF(M92&lt;Assumptions!$B$11-0.005,"BREACH","PASS"))))</f>
        <v>Closed</v>
      </c>
      <c r="O92" s="40">
        <f>1/(1+Assumptions!$B$16)^(A92-Assumptions!$B$12)</f>
        <v>0.16577269507678399</v>
      </c>
      <c r="P92" s="41">
        <f>IF(AND(A92&gt;Assumptions!$B$12,A92&lt;=Assumptions!$B$14),H92*O92,0)</f>
        <v>0</v>
      </c>
      <c r="Q92" s="41">
        <f t="shared" si="16"/>
        <v>0</v>
      </c>
    </row>
    <row r="93" spans="1:17" ht="15" customHeight="1" x14ac:dyDescent="0.25">
      <c r="A93" s="10">
        <v>87</v>
      </c>
      <c r="B93" s="10">
        <f t="shared" si="12"/>
        <v>22</v>
      </c>
      <c r="C93" s="10" t="str">
        <f>IF(A93&gt;Assumptions!$B$14,"Closed",IF(A93&lt;=Assumptions!$B$12,"Moratorium","Repayment"))</f>
        <v>Closed</v>
      </c>
      <c r="D93" s="11">
        <f t="shared" si="17"/>
        <v>0</v>
      </c>
      <c r="E93" s="11">
        <f>IF(B93&gt;25,0,INDEX(Assumptions!$B$22:$B$46,B93))</f>
        <v>0</v>
      </c>
      <c r="F93" s="11">
        <f t="shared" si="13"/>
        <v>0</v>
      </c>
      <c r="G93" s="11">
        <f>D93*Assumptions!$B$16</f>
        <v>0</v>
      </c>
      <c r="H93" s="11">
        <f>F93/Assumptions!$B$11</f>
        <v>0</v>
      </c>
      <c r="I93" s="11">
        <f>IF(OR(A93&lt;=Assumptions!$B$12,A93&gt;Assumptions!$B$14),0,MAX(0,MIN(D93,H93-G93)))</f>
        <v>0</v>
      </c>
      <c r="J93" s="11">
        <f>IF(A93&gt;Assumptions!$B$14,0,MIN(SUMPRODUCT((Assumptions!$B$53:$B$57=A93)*Assumptions!$C$53:$C$57)*Assumptions!$B$50,D93-I93))</f>
        <v>0</v>
      </c>
      <c r="K93" s="11">
        <f t="shared" si="14"/>
        <v>0</v>
      </c>
      <c r="L93" s="11">
        <f t="shared" si="15"/>
        <v>0</v>
      </c>
      <c r="M93" s="12" t="str">
        <f>IF(OR(A93&gt;Assumptions!$B$14,(G93+I93)=0),"",F93/(G93+I93))</f>
        <v/>
      </c>
      <c r="N93" s="10" t="str">
        <f>IF(A93&gt;Assumptions!$B$14,"Closed",IF(A93&lt;=Assumptions!$B$12,"Moratorium",IF(D93=0,"Closed (Repaid Early)",IF(M93&lt;Assumptions!$B$11-0.005,"BREACH","PASS"))))</f>
        <v>Closed</v>
      </c>
      <c r="O93" s="40">
        <f>1/(1+Assumptions!$B$16)^(A93-Assumptions!$B$12)</f>
        <v>0.16226374166331478</v>
      </c>
      <c r="P93" s="41">
        <f>IF(AND(A93&gt;Assumptions!$B$12,A93&lt;=Assumptions!$B$14),H93*O93,0)</f>
        <v>0</v>
      </c>
      <c r="Q93" s="41">
        <f t="shared" si="16"/>
        <v>0</v>
      </c>
    </row>
    <row r="94" spans="1:17" ht="15" customHeight="1" x14ac:dyDescent="0.25">
      <c r="A94" s="13">
        <v>88</v>
      </c>
      <c r="B94" s="13">
        <f t="shared" si="12"/>
        <v>22</v>
      </c>
      <c r="C94" s="13" t="str">
        <f>IF(A94&gt;Assumptions!$B$14,"Closed",IF(A94&lt;=Assumptions!$B$12,"Moratorium","Repayment"))</f>
        <v>Closed</v>
      </c>
      <c r="D94" s="14">
        <f t="shared" si="17"/>
        <v>0</v>
      </c>
      <c r="E94" s="14">
        <f>IF(B94&gt;25,0,INDEX(Assumptions!$B$22:$B$46,B94))</f>
        <v>0</v>
      </c>
      <c r="F94" s="14">
        <f t="shared" si="13"/>
        <v>0</v>
      </c>
      <c r="G94" s="14">
        <f>D94*Assumptions!$B$16</f>
        <v>0</v>
      </c>
      <c r="H94" s="14">
        <f>F94/Assumptions!$B$11</f>
        <v>0</v>
      </c>
      <c r="I94" s="14">
        <f>IF(OR(A94&lt;=Assumptions!$B$12,A94&gt;Assumptions!$B$14),0,MAX(0,MIN(D94,H94-G94)))</f>
        <v>0</v>
      </c>
      <c r="J94" s="14">
        <f>IF(A94&gt;Assumptions!$B$14,0,MIN(SUMPRODUCT((Assumptions!$B$53:$B$57=A94)*Assumptions!$C$53:$C$57)*Assumptions!$B$50,D94-I94))</f>
        <v>0</v>
      </c>
      <c r="K94" s="14">
        <f t="shared" si="14"/>
        <v>0</v>
      </c>
      <c r="L94" s="14">
        <f t="shared" si="15"/>
        <v>0</v>
      </c>
      <c r="M94" s="15" t="str">
        <f>IF(OR(A94&gt;Assumptions!$B$14,(G94+I94)=0),"",F94/(G94+I94))</f>
        <v/>
      </c>
      <c r="N94" s="13" t="str">
        <f>IF(A94&gt;Assumptions!$B$14,"Closed",IF(A94&lt;=Assumptions!$B$12,"Moratorium",IF(D94=0,"Closed (Repaid Early)",IF(M94&lt;Assumptions!$B$11-0.005,"BREACH","PASS"))))</f>
        <v>Closed</v>
      </c>
      <c r="O94" s="40">
        <f>1/(1+Assumptions!$B$16)^(A94-Assumptions!$B$12)</f>
        <v>0.15882906317221568</v>
      </c>
      <c r="P94" s="41">
        <f>IF(AND(A94&gt;Assumptions!$B$12,A94&lt;=Assumptions!$B$14),H94*O94,0)</f>
        <v>0</v>
      </c>
      <c r="Q94" s="41">
        <f t="shared" si="16"/>
        <v>0</v>
      </c>
    </row>
    <row r="95" spans="1:17" ht="15" customHeight="1" x14ac:dyDescent="0.25">
      <c r="A95" s="10">
        <v>89</v>
      </c>
      <c r="B95" s="10">
        <f t="shared" si="12"/>
        <v>23</v>
      </c>
      <c r="C95" s="10" t="str">
        <f>IF(A95&gt;Assumptions!$B$14,"Closed",IF(A95&lt;=Assumptions!$B$12,"Moratorium","Repayment"))</f>
        <v>Closed</v>
      </c>
      <c r="D95" s="11">
        <f t="shared" si="17"/>
        <v>0</v>
      </c>
      <c r="E95" s="11">
        <f>IF(B95&gt;25,0,INDEX(Assumptions!$B$22:$B$46,B95))</f>
        <v>0</v>
      </c>
      <c r="F95" s="11">
        <f t="shared" si="13"/>
        <v>0</v>
      </c>
      <c r="G95" s="11">
        <f>D95*Assumptions!$B$16</f>
        <v>0</v>
      </c>
      <c r="H95" s="11">
        <f>F95/Assumptions!$B$11</f>
        <v>0</v>
      </c>
      <c r="I95" s="11">
        <f>IF(OR(A95&lt;=Assumptions!$B$12,A95&gt;Assumptions!$B$14),0,MAX(0,MIN(D95,H95-G95)))</f>
        <v>0</v>
      </c>
      <c r="J95" s="11">
        <f>IF(A95&gt;Assumptions!$B$14,0,MIN(SUMPRODUCT((Assumptions!$B$53:$B$57=A95)*Assumptions!$C$53:$C$57)*Assumptions!$B$50,D95-I95))</f>
        <v>0</v>
      </c>
      <c r="K95" s="11">
        <f t="shared" si="14"/>
        <v>0</v>
      </c>
      <c r="L95" s="11">
        <f t="shared" si="15"/>
        <v>0</v>
      </c>
      <c r="M95" s="12" t="str">
        <f>IF(OR(A95&gt;Assumptions!$B$14,(G95+I95)=0),"",F95/(G95+I95))</f>
        <v/>
      </c>
      <c r="N95" s="10" t="str">
        <f>IF(A95&gt;Assumptions!$B$14,"Closed",IF(A95&lt;=Assumptions!$B$12,"Moratorium",IF(D95=0,"Closed (Repaid Early)",IF(M95&lt;Assumptions!$B$11-0.005,"BREACH","PASS"))))</f>
        <v>Closed</v>
      </c>
      <c r="O95" s="40">
        <f>1/(1+Assumptions!$B$16)^(A95-Assumptions!$B$12)</f>
        <v>0.15546708740703846</v>
      </c>
      <c r="P95" s="41">
        <f>IF(AND(A95&gt;Assumptions!$B$12,A95&lt;=Assumptions!$B$14),H95*O95,0)</f>
        <v>0</v>
      </c>
      <c r="Q95" s="41">
        <f t="shared" si="16"/>
        <v>0</v>
      </c>
    </row>
    <row r="96" spans="1:17" ht="15" customHeight="1" x14ac:dyDescent="0.25">
      <c r="A96" s="13">
        <v>90</v>
      </c>
      <c r="B96" s="13">
        <f t="shared" si="12"/>
        <v>23</v>
      </c>
      <c r="C96" s="13" t="str">
        <f>IF(A96&gt;Assumptions!$B$14,"Closed",IF(A96&lt;=Assumptions!$B$12,"Moratorium","Repayment"))</f>
        <v>Closed</v>
      </c>
      <c r="D96" s="14">
        <f t="shared" si="17"/>
        <v>0</v>
      </c>
      <c r="E96" s="14">
        <f>IF(B96&gt;25,0,INDEX(Assumptions!$B$22:$B$46,B96))</f>
        <v>0</v>
      </c>
      <c r="F96" s="14">
        <f t="shared" si="13"/>
        <v>0</v>
      </c>
      <c r="G96" s="14">
        <f>D96*Assumptions!$B$16</f>
        <v>0</v>
      </c>
      <c r="H96" s="14">
        <f>F96/Assumptions!$B$11</f>
        <v>0</v>
      </c>
      <c r="I96" s="14">
        <f>IF(OR(A96&lt;=Assumptions!$B$12,A96&gt;Assumptions!$B$14),0,MAX(0,MIN(D96,H96-G96)))</f>
        <v>0</v>
      </c>
      <c r="J96" s="14">
        <f>IF(A96&gt;Assumptions!$B$14,0,MIN(SUMPRODUCT((Assumptions!$B$53:$B$57=A96)*Assumptions!$C$53:$C$57)*Assumptions!$B$50,D96-I96))</f>
        <v>0</v>
      </c>
      <c r="K96" s="14">
        <f t="shared" si="14"/>
        <v>0</v>
      </c>
      <c r="L96" s="14">
        <f t="shared" si="15"/>
        <v>0</v>
      </c>
      <c r="M96" s="15" t="str">
        <f>IF(OR(A96&gt;Assumptions!$B$14,(G96+I96)=0),"",F96/(G96+I96))</f>
        <v/>
      </c>
      <c r="N96" s="13" t="str">
        <f>IF(A96&gt;Assumptions!$B$14,"Closed",IF(A96&lt;=Assumptions!$B$12,"Moratorium",IF(D96=0,"Closed (Repaid Early)",IF(M96&lt;Assumptions!$B$11-0.005,"BREACH","PASS"))))</f>
        <v>Closed</v>
      </c>
      <c r="O96" s="40">
        <f>1/(1+Assumptions!$B$16)^(A96-Assumptions!$B$12)</f>
        <v>0.15217627545042306</v>
      </c>
      <c r="P96" s="41">
        <f>IF(AND(A96&gt;Assumptions!$B$12,A96&lt;=Assumptions!$B$14),H96*O96,0)</f>
        <v>0</v>
      </c>
      <c r="Q96" s="41">
        <f t="shared" si="16"/>
        <v>0</v>
      </c>
    </row>
    <row r="97" spans="1:17" ht="15" customHeight="1" x14ac:dyDescent="0.25">
      <c r="A97" s="10">
        <v>91</v>
      </c>
      <c r="B97" s="10">
        <f t="shared" si="12"/>
        <v>23</v>
      </c>
      <c r="C97" s="10" t="str">
        <f>IF(A97&gt;Assumptions!$B$14,"Closed",IF(A97&lt;=Assumptions!$B$12,"Moratorium","Repayment"))</f>
        <v>Closed</v>
      </c>
      <c r="D97" s="11">
        <f t="shared" si="17"/>
        <v>0</v>
      </c>
      <c r="E97" s="11">
        <f>IF(B97&gt;25,0,INDEX(Assumptions!$B$22:$B$46,B97))</f>
        <v>0</v>
      </c>
      <c r="F97" s="11">
        <f t="shared" si="13"/>
        <v>0</v>
      </c>
      <c r="G97" s="11">
        <f>D97*Assumptions!$B$16</f>
        <v>0</v>
      </c>
      <c r="H97" s="11">
        <f>F97/Assumptions!$B$11</f>
        <v>0</v>
      </c>
      <c r="I97" s="11">
        <f>IF(OR(A97&lt;=Assumptions!$B$12,A97&gt;Assumptions!$B$14),0,MAX(0,MIN(D97,H97-G97)))</f>
        <v>0</v>
      </c>
      <c r="J97" s="11">
        <f>IF(A97&gt;Assumptions!$B$14,0,MIN(SUMPRODUCT((Assumptions!$B$53:$B$57=A97)*Assumptions!$C$53:$C$57)*Assumptions!$B$50,D97-I97))</f>
        <v>0</v>
      </c>
      <c r="K97" s="11">
        <f t="shared" si="14"/>
        <v>0</v>
      </c>
      <c r="L97" s="11">
        <f t="shared" si="15"/>
        <v>0</v>
      </c>
      <c r="M97" s="12" t="str">
        <f>IF(OR(A97&gt;Assumptions!$B$14,(G97+I97)=0),"",F97/(G97+I97))</f>
        <v/>
      </c>
      <c r="N97" s="10" t="str">
        <f>IF(A97&gt;Assumptions!$B$14,"Closed",IF(A97&lt;=Assumptions!$B$12,"Moratorium",IF(D97=0,"Closed (Repaid Early)",IF(M97&lt;Assumptions!$B$11-0.005,"BREACH","PASS"))))</f>
        <v>Closed</v>
      </c>
      <c r="O97" s="40">
        <f>1/(1+Assumptions!$B$16)^(A97-Assumptions!$B$12)</f>
        <v>0.1489551209596702</v>
      </c>
      <c r="P97" s="41">
        <f>IF(AND(A97&gt;Assumptions!$B$12,A97&lt;=Assumptions!$B$14),H97*O97,0)</f>
        <v>0</v>
      </c>
      <c r="Q97" s="41">
        <f t="shared" si="16"/>
        <v>0</v>
      </c>
    </row>
    <row r="98" spans="1:17" ht="15" customHeight="1" x14ac:dyDescent="0.25">
      <c r="A98" s="13">
        <v>92</v>
      </c>
      <c r="B98" s="13">
        <f t="shared" si="12"/>
        <v>23</v>
      </c>
      <c r="C98" s="13" t="str">
        <f>IF(A98&gt;Assumptions!$B$14,"Closed",IF(A98&lt;=Assumptions!$B$12,"Moratorium","Repayment"))</f>
        <v>Closed</v>
      </c>
      <c r="D98" s="14">
        <f t="shared" si="17"/>
        <v>0</v>
      </c>
      <c r="E98" s="14">
        <f>IF(B98&gt;25,0,INDEX(Assumptions!$B$22:$B$46,B98))</f>
        <v>0</v>
      </c>
      <c r="F98" s="14">
        <f t="shared" si="13"/>
        <v>0</v>
      </c>
      <c r="G98" s="14">
        <f>D98*Assumptions!$B$16</f>
        <v>0</v>
      </c>
      <c r="H98" s="14">
        <f>F98/Assumptions!$B$11</f>
        <v>0</v>
      </c>
      <c r="I98" s="14">
        <f>IF(OR(A98&lt;=Assumptions!$B$12,A98&gt;Assumptions!$B$14),0,MAX(0,MIN(D98,H98-G98)))</f>
        <v>0</v>
      </c>
      <c r="J98" s="14">
        <f>IF(A98&gt;Assumptions!$B$14,0,MIN(SUMPRODUCT((Assumptions!$B$53:$B$57=A98)*Assumptions!$C$53:$C$57)*Assumptions!$B$50,D98-I98))</f>
        <v>0</v>
      </c>
      <c r="K98" s="14">
        <f t="shared" si="14"/>
        <v>0</v>
      </c>
      <c r="L98" s="14">
        <f t="shared" si="15"/>
        <v>0</v>
      </c>
      <c r="M98" s="15" t="str">
        <f>IF(OR(A98&gt;Assumptions!$B$14,(G98+I98)=0),"",F98/(G98+I98))</f>
        <v/>
      </c>
      <c r="N98" s="13" t="str">
        <f>IF(A98&gt;Assumptions!$B$14,"Closed",IF(A98&lt;=Assumptions!$B$12,"Moratorium",IF(D98=0,"Closed (Repaid Early)",IF(M98&lt;Assumptions!$B$11-0.005,"BREACH","PASS"))))</f>
        <v>Closed</v>
      </c>
      <c r="O98" s="40">
        <f>1/(1+Assumptions!$B$16)^(A98-Assumptions!$B$12)</f>
        <v>0.1458021494772252</v>
      </c>
      <c r="P98" s="41">
        <f>IF(AND(A98&gt;Assumptions!$B$12,A98&lt;=Assumptions!$B$14),H98*O98,0)</f>
        <v>0</v>
      </c>
      <c r="Q98" s="41">
        <f t="shared" si="16"/>
        <v>0</v>
      </c>
    </row>
    <row r="99" spans="1:17" ht="15" customHeight="1" x14ac:dyDescent="0.25">
      <c r="A99" s="10">
        <v>93</v>
      </c>
      <c r="B99" s="10">
        <f t="shared" si="12"/>
        <v>24</v>
      </c>
      <c r="C99" s="10" t="str">
        <f>IF(A99&gt;Assumptions!$B$14,"Closed",IF(A99&lt;=Assumptions!$B$12,"Moratorium","Repayment"))</f>
        <v>Closed</v>
      </c>
      <c r="D99" s="11">
        <f t="shared" si="17"/>
        <v>0</v>
      </c>
      <c r="E99" s="11">
        <f>IF(B99&gt;25,0,INDEX(Assumptions!$B$22:$B$46,B99))</f>
        <v>0</v>
      </c>
      <c r="F99" s="11">
        <f t="shared" si="13"/>
        <v>0</v>
      </c>
      <c r="G99" s="11">
        <f>D99*Assumptions!$B$16</f>
        <v>0</v>
      </c>
      <c r="H99" s="11">
        <f>F99/Assumptions!$B$11</f>
        <v>0</v>
      </c>
      <c r="I99" s="11">
        <f>IF(OR(A99&lt;=Assumptions!$B$12,A99&gt;Assumptions!$B$14),0,MAX(0,MIN(D99,H99-G99)))</f>
        <v>0</v>
      </c>
      <c r="J99" s="11">
        <f>IF(A99&gt;Assumptions!$B$14,0,MIN(SUMPRODUCT((Assumptions!$B$53:$B$57=A99)*Assumptions!$C$53:$C$57)*Assumptions!$B$50,D99-I99))</f>
        <v>0</v>
      </c>
      <c r="K99" s="11">
        <f t="shared" si="14"/>
        <v>0</v>
      </c>
      <c r="L99" s="11">
        <f t="shared" si="15"/>
        <v>0</v>
      </c>
      <c r="M99" s="12" t="str">
        <f>IF(OR(A99&gt;Assumptions!$B$14,(G99+I99)=0),"",F99/(G99+I99))</f>
        <v/>
      </c>
      <c r="N99" s="10" t="str">
        <f>IF(A99&gt;Assumptions!$B$14,"Closed",IF(A99&lt;=Assumptions!$B$12,"Moratorium",IF(D99=0,"Closed (Repaid Early)",IF(M99&lt;Assumptions!$B$11-0.005,"BREACH","PASS"))))</f>
        <v>Closed</v>
      </c>
      <c r="O99" s="40">
        <f>1/(1+Assumptions!$B$16)^(A99-Assumptions!$B$12)</f>
        <v>0.14271591775575695</v>
      </c>
      <c r="P99" s="41">
        <f>IF(AND(A99&gt;Assumptions!$B$12,A99&lt;=Assumptions!$B$14),H99*O99,0)</f>
        <v>0</v>
      </c>
      <c r="Q99" s="41">
        <f t="shared" si="16"/>
        <v>0</v>
      </c>
    </row>
    <row r="100" spans="1:17" ht="15" customHeight="1" x14ac:dyDescent="0.25">
      <c r="A100" s="13">
        <v>94</v>
      </c>
      <c r="B100" s="13">
        <f t="shared" si="12"/>
        <v>24</v>
      </c>
      <c r="C100" s="13" t="str">
        <f>IF(A100&gt;Assumptions!$B$14,"Closed",IF(A100&lt;=Assumptions!$B$12,"Moratorium","Repayment"))</f>
        <v>Closed</v>
      </c>
      <c r="D100" s="14">
        <f t="shared" si="17"/>
        <v>0</v>
      </c>
      <c r="E100" s="14">
        <f>IF(B100&gt;25,0,INDEX(Assumptions!$B$22:$B$46,B100))</f>
        <v>0</v>
      </c>
      <c r="F100" s="14">
        <f t="shared" si="13"/>
        <v>0</v>
      </c>
      <c r="G100" s="14">
        <f>D100*Assumptions!$B$16</f>
        <v>0</v>
      </c>
      <c r="H100" s="14">
        <f>F100/Assumptions!$B$11</f>
        <v>0</v>
      </c>
      <c r="I100" s="14">
        <f>IF(OR(A100&lt;=Assumptions!$B$12,A100&gt;Assumptions!$B$14),0,MAX(0,MIN(D100,H100-G100)))</f>
        <v>0</v>
      </c>
      <c r="J100" s="14">
        <f>IF(A100&gt;Assumptions!$B$14,0,MIN(SUMPRODUCT((Assumptions!$B$53:$B$57=A100)*Assumptions!$C$53:$C$57)*Assumptions!$B$50,D100-I100))</f>
        <v>0</v>
      </c>
      <c r="K100" s="14">
        <f t="shared" si="14"/>
        <v>0</v>
      </c>
      <c r="L100" s="14">
        <f t="shared" si="15"/>
        <v>0</v>
      </c>
      <c r="M100" s="15" t="str">
        <f>IF(OR(A100&gt;Assumptions!$B$14,(G100+I100)=0),"",F100/(G100+I100))</f>
        <v/>
      </c>
      <c r="N100" s="13" t="str">
        <f>IF(A100&gt;Assumptions!$B$14,"Closed",IF(A100&lt;=Assumptions!$B$12,"Moratorium",IF(D100=0,"Closed (Repaid Early)",IF(M100&lt;Assumptions!$B$11-0.005,"BREACH","PASS"))))</f>
        <v>Closed</v>
      </c>
      <c r="O100" s="40">
        <f>1/(1+Assumptions!$B$16)^(A100-Assumptions!$B$12)</f>
        <v>0.13969501309752302</v>
      </c>
      <c r="P100" s="41">
        <f>IF(AND(A100&gt;Assumptions!$B$12,A100&lt;=Assumptions!$B$14),H100*O100,0)</f>
        <v>0</v>
      </c>
      <c r="Q100" s="41">
        <f t="shared" si="16"/>
        <v>0</v>
      </c>
    </row>
    <row r="101" spans="1:17" ht="15" customHeight="1" x14ac:dyDescent="0.25">
      <c r="A101" s="10">
        <v>95</v>
      </c>
      <c r="B101" s="10">
        <f t="shared" si="12"/>
        <v>24</v>
      </c>
      <c r="C101" s="10" t="str">
        <f>IF(A101&gt;Assumptions!$B$14,"Closed",IF(A101&lt;=Assumptions!$B$12,"Moratorium","Repayment"))</f>
        <v>Closed</v>
      </c>
      <c r="D101" s="11">
        <f t="shared" si="17"/>
        <v>0</v>
      </c>
      <c r="E101" s="11">
        <f>IF(B101&gt;25,0,INDEX(Assumptions!$B$22:$B$46,B101))</f>
        <v>0</v>
      </c>
      <c r="F101" s="11">
        <f t="shared" si="13"/>
        <v>0</v>
      </c>
      <c r="G101" s="11">
        <f>D101*Assumptions!$B$16</f>
        <v>0</v>
      </c>
      <c r="H101" s="11">
        <f>F101/Assumptions!$B$11</f>
        <v>0</v>
      </c>
      <c r="I101" s="11">
        <f>IF(OR(A101&lt;=Assumptions!$B$12,A101&gt;Assumptions!$B$14),0,MAX(0,MIN(D101,H101-G101)))</f>
        <v>0</v>
      </c>
      <c r="J101" s="11">
        <f>IF(A101&gt;Assumptions!$B$14,0,MIN(SUMPRODUCT((Assumptions!$B$53:$B$57=A101)*Assumptions!$C$53:$C$57)*Assumptions!$B$50,D101-I101))</f>
        <v>0</v>
      </c>
      <c r="K101" s="11">
        <f t="shared" si="14"/>
        <v>0</v>
      </c>
      <c r="L101" s="11">
        <f t="shared" si="15"/>
        <v>0</v>
      </c>
      <c r="M101" s="12" t="str">
        <f>IF(OR(A101&gt;Assumptions!$B$14,(G101+I101)=0),"",F101/(G101+I101))</f>
        <v/>
      </c>
      <c r="N101" s="10" t="str">
        <f>IF(A101&gt;Assumptions!$B$14,"Closed",IF(A101&lt;=Assumptions!$B$12,"Moratorium",IF(D101=0,"Closed (Repaid Early)",IF(M101&lt;Assumptions!$B$11-0.005,"BREACH","PASS"))))</f>
        <v>Closed</v>
      </c>
      <c r="O101" s="40">
        <f>1/(1+Assumptions!$B$16)^(A101-Assumptions!$B$12)</f>
        <v>0.1367380527077186</v>
      </c>
      <c r="P101" s="41">
        <f>IF(AND(A101&gt;Assumptions!$B$12,A101&lt;=Assumptions!$B$14),H101*O101,0)</f>
        <v>0</v>
      </c>
      <c r="Q101" s="41">
        <f t="shared" si="16"/>
        <v>0</v>
      </c>
    </row>
    <row r="102" spans="1:17" ht="15" customHeight="1" x14ac:dyDescent="0.25">
      <c r="A102" s="13">
        <v>96</v>
      </c>
      <c r="B102" s="13">
        <f t="shared" si="12"/>
        <v>24</v>
      </c>
      <c r="C102" s="13" t="str">
        <f>IF(A102&gt;Assumptions!$B$14,"Closed",IF(A102&lt;=Assumptions!$B$12,"Moratorium","Repayment"))</f>
        <v>Closed</v>
      </c>
      <c r="D102" s="14">
        <f t="shared" si="17"/>
        <v>0</v>
      </c>
      <c r="E102" s="14">
        <f>IF(B102&gt;25,0,INDEX(Assumptions!$B$22:$B$46,B102))</f>
        <v>0</v>
      </c>
      <c r="F102" s="14">
        <f t="shared" si="13"/>
        <v>0</v>
      </c>
      <c r="G102" s="14">
        <f>D102*Assumptions!$B$16</f>
        <v>0</v>
      </c>
      <c r="H102" s="14">
        <f>F102/Assumptions!$B$11</f>
        <v>0</v>
      </c>
      <c r="I102" s="14">
        <f>IF(OR(A102&lt;=Assumptions!$B$12,A102&gt;Assumptions!$B$14),0,MAX(0,MIN(D102,H102-G102)))</f>
        <v>0</v>
      </c>
      <c r="J102" s="14">
        <f>IF(A102&gt;Assumptions!$B$14,0,MIN(SUMPRODUCT((Assumptions!$B$53:$B$57=A102)*Assumptions!$C$53:$C$57)*Assumptions!$B$50,D102-I102))</f>
        <v>0</v>
      </c>
      <c r="K102" s="14">
        <f t="shared" si="14"/>
        <v>0</v>
      </c>
      <c r="L102" s="14">
        <f t="shared" si="15"/>
        <v>0</v>
      </c>
      <c r="M102" s="15" t="str">
        <f>IF(OR(A102&gt;Assumptions!$B$14,(G102+I102)=0),"",F102/(G102+I102))</f>
        <v/>
      </c>
      <c r="N102" s="13" t="str">
        <f>IF(A102&gt;Assumptions!$B$14,"Closed",IF(A102&lt;=Assumptions!$B$12,"Moratorium",IF(D102=0,"Closed (Repaid Early)",IF(M102&lt;Assumptions!$B$11-0.005,"BREACH","PASS"))))</f>
        <v>Closed</v>
      </c>
      <c r="O102" s="40">
        <f>1/(1+Assumptions!$B$16)^(A102-Assumptions!$B$12)</f>
        <v>0.1338436830615134</v>
      </c>
      <c r="P102" s="41">
        <f>IF(AND(A102&gt;Assumptions!$B$12,A102&lt;=Assumptions!$B$14),H102*O102,0)</f>
        <v>0</v>
      </c>
      <c r="Q102" s="41">
        <f t="shared" si="16"/>
        <v>0</v>
      </c>
    </row>
    <row r="103" spans="1:17" ht="15" customHeight="1" x14ac:dyDescent="0.25">
      <c r="A103" s="10">
        <v>97</v>
      </c>
      <c r="B103" s="10">
        <f t="shared" ref="B103:B106" si="18">ROUNDUP(A103/4,0)</f>
        <v>25</v>
      </c>
      <c r="C103" s="10" t="str">
        <f>IF(A103&gt;Assumptions!$B$14,"Closed",IF(A103&lt;=Assumptions!$B$12,"Moratorium","Repayment"))</f>
        <v>Closed</v>
      </c>
      <c r="D103" s="11">
        <f t="shared" si="17"/>
        <v>0</v>
      </c>
      <c r="E103" s="11">
        <f>IF(B103&gt;25,0,INDEX(Assumptions!$B$22:$B$46,B103))</f>
        <v>0</v>
      </c>
      <c r="F103" s="11">
        <f t="shared" ref="F103:F106" si="19">E103/4</f>
        <v>0</v>
      </c>
      <c r="G103" s="11">
        <f>D103*Assumptions!$B$16</f>
        <v>0</v>
      </c>
      <c r="H103" s="11">
        <f>F103/Assumptions!$B$11</f>
        <v>0</v>
      </c>
      <c r="I103" s="11">
        <f>IF(OR(A103&lt;=Assumptions!$B$12,A103&gt;Assumptions!$B$14),0,MAX(0,MIN(D103,H103-G103)))</f>
        <v>0</v>
      </c>
      <c r="J103" s="11">
        <f>IF(A103&gt;Assumptions!$B$14,0,MIN(SUMPRODUCT((Assumptions!$B$53:$B$57=A103)*Assumptions!$C$53:$C$57)*Assumptions!$B$50,D103-I103))</f>
        <v>0</v>
      </c>
      <c r="K103" s="11">
        <f t="shared" ref="K103:K106" si="20">I103+J103</f>
        <v>0</v>
      </c>
      <c r="L103" s="11">
        <f t="shared" ref="L103:L106" si="21">D103-K103</f>
        <v>0</v>
      </c>
      <c r="M103" s="12" t="str">
        <f>IF(OR(A103&gt;Assumptions!$B$14,(G103+I103)=0),"",F103/(G103+I103))</f>
        <v/>
      </c>
      <c r="N103" s="10" t="str">
        <f>IF(A103&gt;Assumptions!$B$14,"Closed",IF(A103&lt;=Assumptions!$B$12,"Moratorium",IF(D103=0,"Closed (Repaid Early)",IF(M103&lt;Assumptions!$B$11-0.005,"BREACH","PASS"))))</f>
        <v>Closed</v>
      </c>
      <c r="O103" s="40">
        <f>1/(1+Assumptions!$B$16)^(A103-Assumptions!$B$12)</f>
        <v>0.13101057928448639</v>
      </c>
      <c r="P103" s="41">
        <f>IF(AND(A103&gt;Assumptions!$B$12,A103&lt;=Assumptions!$B$14),H103*O103,0)</f>
        <v>0</v>
      </c>
      <c r="Q103" s="41">
        <f t="shared" si="16"/>
        <v>0</v>
      </c>
    </row>
    <row r="104" spans="1:17" ht="15" customHeight="1" x14ac:dyDescent="0.25">
      <c r="A104" s="13">
        <v>98</v>
      </c>
      <c r="B104" s="13">
        <f t="shared" si="18"/>
        <v>25</v>
      </c>
      <c r="C104" s="13" t="str">
        <f>IF(A104&gt;Assumptions!$B$14,"Closed",IF(A104&lt;=Assumptions!$B$12,"Moratorium","Repayment"))</f>
        <v>Closed</v>
      </c>
      <c r="D104" s="14">
        <f t="shared" si="17"/>
        <v>0</v>
      </c>
      <c r="E104" s="14">
        <f>IF(B104&gt;25,0,INDEX(Assumptions!$B$22:$B$46,B104))</f>
        <v>0</v>
      </c>
      <c r="F104" s="14">
        <f t="shared" si="19"/>
        <v>0</v>
      </c>
      <c r="G104" s="14">
        <f>D104*Assumptions!$B$16</f>
        <v>0</v>
      </c>
      <c r="H104" s="14">
        <f>F104/Assumptions!$B$11</f>
        <v>0</v>
      </c>
      <c r="I104" s="14">
        <f>IF(OR(A104&lt;=Assumptions!$B$12,A104&gt;Assumptions!$B$14),0,MAX(0,MIN(D104,H104-G104)))</f>
        <v>0</v>
      </c>
      <c r="J104" s="14">
        <f>IF(A104&gt;Assumptions!$B$14,0,MIN(SUMPRODUCT((Assumptions!$B$53:$B$57=A104)*Assumptions!$C$53:$C$57)*Assumptions!$B$50,D104-I104))</f>
        <v>0</v>
      </c>
      <c r="K104" s="14">
        <f t="shared" si="20"/>
        <v>0</v>
      </c>
      <c r="L104" s="14">
        <f t="shared" si="21"/>
        <v>0</v>
      </c>
      <c r="M104" s="15" t="str">
        <f>IF(OR(A104&gt;Assumptions!$B$14,(G104+I104)=0),"",F104/(G104+I104))</f>
        <v/>
      </c>
      <c r="N104" s="13" t="str">
        <f>IF(A104&gt;Assumptions!$B$14,"Closed",IF(A104&lt;=Assumptions!$B$12,"Moratorium",IF(D104=0,"Closed (Repaid Early)",IF(M104&lt;Assumptions!$B$11-0.005,"BREACH","PASS"))))</f>
        <v>Closed</v>
      </c>
      <c r="O104" s="40">
        <f>1/(1+Assumptions!$B$16)^(A104-Assumptions!$B$12)</f>
        <v>0.12823744454617536</v>
      </c>
      <c r="P104" s="41">
        <f>IF(AND(A104&gt;Assumptions!$B$12,A104&lt;=Assumptions!$B$14),H104*O104,0)</f>
        <v>0</v>
      </c>
      <c r="Q104" s="41">
        <f t="shared" si="16"/>
        <v>0</v>
      </c>
    </row>
    <row r="105" spans="1:17" ht="15" customHeight="1" x14ac:dyDescent="0.25">
      <c r="A105" s="10">
        <v>99</v>
      </c>
      <c r="B105" s="10">
        <f t="shared" si="18"/>
        <v>25</v>
      </c>
      <c r="C105" s="10" t="str">
        <f>IF(A105&gt;Assumptions!$B$14,"Closed",IF(A105&lt;=Assumptions!$B$12,"Moratorium","Repayment"))</f>
        <v>Closed</v>
      </c>
      <c r="D105" s="11">
        <f t="shared" si="17"/>
        <v>0</v>
      </c>
      <c r="E105" s="11">
        <f>IF(B105&gt;25,0,INDEX(Assumptions!$B$22:$B$46,B105))</f>
        <v>0</v>
      </c>
      <c r="F105" s="11">
        <f t="shared" si="19"/>
        <v>0</v>
      </c>
      <c r="G105" s="11">
        <f>D105*Assumptions!$B$16</f>
        <v>0</v>
      </c>
      <c r="H105" s="11">
        <f>F105/Assumptions!$B$11</f>
        <v>0</v>
      </c>
      <c r="I105" s="11">
        <f>IF(OR(A105&lt;=Assumptions!$B$12,A105&gt;Assumptions!$B$14),0,MAX(0,MIN(D105,H105-G105)))</f>
        <v>0</v>
      </c>
      <c r="J105" s="11">
        <f>IF(A105&gt;Assumptions!$B$14,0,MIN(SUMPRODUCT((Assumptions!$B$53:$B$57=A105)*Assumptions!$C$53:$C$57)*Assumptions!$B$50,D105-I105))</f>
        <v>0</v>
      </c>
      <c r="K105" s="11">
        <f t="shared" si="20"/>
        <v>0</v>
      </c>
      <c r="L105" s="11">
        <f t="shared" si="21"/>
        <v>0</v>
      </c>
      <c r="M105" s="12" t="str">
        <f>IF(OR(A105&gt;Assumptions!$B$14,(G105+I105)=0),"",F105/(G105+I105))</f>
        <v/>
      </c>
      <c r="N105" s="10" t="str">
        <f>IF(A105&gt;Assumptions!$B$14,"Closed",IF(A105&lt;=Assumptions!$B$12,"Moratorium",IF(D105=0,"Closed (Repaid Early)",IF(M105&lt;Assumptions!$B$11-0.005,"BREACH","PASS"))))</f>
        <v>Closed</v>
      </c>
      <c r="O105" s="40">
        <f>1/(1+Assumptions!$B$16)^(A105-Assumptions!$B$12)</f>
        <v>0.12552300946646308</v>
      </c>
      <c r="P105" s="41">
        <f>IF(AND(A105&gt;Assumptions!$B$12,A105&lt;=Assumptions!$B$14),H105*O105,0)</f>
        <v>0</v>
      </c>
      <c r="Q105" s="41">
        <f t="shared" si="16"/>
        <v>0</v>
      </c>
    </row>
    <row r="106" spans="1:17" ht="15" customHeight="1" x14ac:dyDescent="0.25">
      <c r="A106" s="13">
        <v>100</v>
      </c>
      <c r="B106" s="13">
        <f t="shared" si="18"/>
        <v>25</v>
      </c>
      <c r="C106" s="13" t="str">
        <f>IF(A106&gt;Assumptions!$B$14,"Closed",IF(A106&lt;=Assumptions!$B$12,"Moratorium","Repayment"))</f>
        <v>Closed</v>
      </c>
      <c r="D106" s="14">
        <f t="shared" si="17"/>
        <v>0</v>
      </c>
      <c r="E106" s="14">
        <f>IF(B106&gt;25,0,INDEX(Assumptions!$B$22:$B$46,B106))</f>
        <v>0</v>
      </c>
      <c r="F106" s="14">
        <f t="shared" si="19"/>
        <v>0</v>
      </c>
      <c r="G106" s="14">
        <f>D106*Assumptions!$B$16</f>
        <v>0</v>
      </c>
      <c r="H106" s="14">
        <f>F106/Assumptions!$B$11</f>
        <v>0</v>
      </c>
      <c r="I106" s="14">
        <f>IF(OR(A106&lt;=Assumptions!$B$12,A106&gt;Assumptions!$B$14),0,MAX(0,MIN(D106,H106-G106)))</f>
        <v>0</v>
      </c>
      <c r="J106" s="14">
        <f>IF(A106&gt;Assumptions!$B$14,0,MIN(SUMPRODUCT((Assumptions!$B$53:$B$57=A106)*Assumptions!$C$53:$C$57)*Assumptions!$B$50,D106-I106))</f>
        <v>0</v>
      </c>
      <c r="K106" s="14">
        <f t="shared" si="20"/>
        <v>0</v>
      </c>
      <c r="L106" s="14">
        <f t="shared" si="21"/>
        <v>0</v>
      </c>
      <c r="M106" s="15" t="str">
        <f>IF(OR(A106&gt;Assumptions!$B$14,(G106+I106)=0),"",F106/(G106+I106))</f>
        <v/>
      </c>
      <c r="N106" s="13" t="str">
        <f>IF(A106&gt;Assumptions!$B$14,"Closed",IF(A106&lt;=Assumptions!$B$12,"Moratorium",IF(D106=0,"Closed (Repaid Early)",IF(M106&lt;Assumptions!$B$11-0.005,"BREACH","PASS"))))</f>
        <v>Closed</v>
      </c>
      <c r="O106" s="40">
        <f>1/(1+Assumptions!$B$16)^(A106-Assumptions!$B$12)</f>
        <v>0.12286603153452891</v>
      </c>
      <c r="P106" s="41">
        <f>IF(AND(A106&gt;Assumptions!$B$12,A106&lt;=Assumptions!$B$14),H106*O106,0)</f>
        <v>0</v>
      </c>
      <c r="Q106" s="41">
        <f t="shared" si="16"/>
        <v>0</v>
      </c>
    </row>
    <row r="107" spans="1:17" ht="15" customHeight="1" x14ac:dyDescent="0.25">
      <c r="A107" s="16" t="s">
        <v>102</v>
      </c>
      <c r="B107" s="16"/>
      <c r="C107" s="16"/>
      <c r="D107" s="16"/>
      <c r="E107" s="16"/>
      <c r="F107" s="16"/>
      <c r="G107" s="17">
        <f>SUM(G7:G106)</f>
        <v>195.65118158362168</v>
      </c>
      <c r="H107" s="16"/>
      <c r="I107" s="17">
        <f>SUM(I7:I106)</f>
        <v>281.76</v>
      </c>
      <c r="J107" s="17">
        <f>SUM(J7:J106)</f>
        <v>90</v>
      </c>
      <c r="K107" s="17">
        <f>SUM(K7:K106)</f>
        <v>371.75999999999988</v>
      </c>
      <c r="L107" s="17">
        <f>L106</f>
        <v>0</v>
      </c>
      <c r="M107" s="16"/>
      <c r="N107" s="16"/>
      <c r="P107" s="42">
        <f>SUM(P7:P106)</f>
        <v>300.33641055949425</v>
      </c>
      <c r="Q107" s="42">
        <f>SUM(Q7:Q106)</f>
        <v>81.680792440335537</v>
      </c>
    </row>
    <row r="109" spans="1:17" ht="48" customHeight="1" x14ac:dyDescent="0.25">
      <c r="A109" s="87" t="s">
        <v>103</v>
      </c>
      <c r="B109" s="87"/>
      <c r="C109" s="87"/>
      <c r="D109" s="87"/>
      <c r="E109" s="87"/>
      <c r="F109" s="87"/>
      <c r="G109" s="87"/>
      <c r="H109" s="87"/>
      <c r="I109" s="87"/>
      <c r="J109" s="87"/>
      <c r="K109" s="87"/>
      <c r="L109" s="87"/>
      <c r="M109" s="87"/>
      <c r="N109" s="87"/>
    </row>
  </sheetData>
  <mergeCells count="4">
    <mergeCell ref="A2:O2"/>
    <mergeCell ref="A3:O3"/>
    <mergeCell ref="A4:O4"/>
    <mergeCell ref="A109:N109"/>
  </mergeCells>
  <conditionalFormatting sqref="C7:C106">
    <cfRule type="cellIs" dxfId="8" priority="4" operator="equal">
      <formula>"Closed"</formula>
    </cfRule>
  </conditionalFormatting>
  <conditionalFormatting sqref="N7:N106">
    <cfRule type="cellIs" dxfId="7" priority="2" operator="equal">
      <formula>"BREACH"</formula>
    </cfRule>
    <cfRule type="cellIs" dxfId="6" priority="3" operator="equal">
      <formula>"Closed"</formula>
    </cfRule>
  </conditionalFormatting>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10"/>
  <sheetViews>
    <sheetView showGridLines="0" zoomScaleNormal="100" workbookViewId="0">
      <pane ySplit="7" topLeftCell="A8" activePane="bottomLeft" state="frozen"/>
      <selection pane="bottomLeft" sqref="A1:XFD1048576"/>
    </sheetView>
  </sheetViews>
  <sheetFormatPr defaultColWidth="8.5703125" defaultRowHeight="15" x14ac:dyDescent="0.25"/>
  <cols>
    <col min="1" max="2" width="8" style="2" customWidth="1"/>
    <col min="3" max="3" width="10" style="2" customWidth="1"/>
    <col min="4" max="4" width="11" style="2" customWidth="1"/>
    <col min="5" max="5" width="12" style="2" customWidth="1"/>
    <col min="6" max="6" width="10" style="2" customWidth="1"/>
    <col min="7" max="8" width="9" style="2" customWidth="1"/>
    <col min="9" max="11" width="10" style="2" customWidth="1"/>
    <col min="12" max="12" width="8" style="2" customWidth="1"/>
    <col min="13" max="13" width="24.7109375" style="2" customWidth="1"/>
    <col min="14" max="16384" width="8.5703125" style="2"/>
  </cols>
  <sheetData>
    <row r="1" spans="1:14" ht="20.25" x14ac:dyDescent="0.3">
      <c r="A1" s="1" t="str">
        <f>Sculpting_Schedule!A1</f>
        <v>camsroy.com</v>
      </c>
      <c r="B1" s="1"/>
      <c r="C1" s="1"/>
      <c r="D1" s="1"/>
      <c r="E1" s="1"/>
      <c r="F1" s="1"/>
      <c r="G1" s="1"/>
      <c r="H1" s="1"/>
      <c r="I1" s="1"/>
      <c r="J1" s="1"/>
      <c r="K1" s="1"/>
      <c r="L1" s="1"/>
      <c r="M1" s="1"/>
      <c r="N1" s="1"/>
    </row>
    <row r="2" spans="1:14" ht="27.75" customHeight="1" x14ac:dyDescent="0.25">
      <c r="A2" s="96" t="s">
        <v>104</v>
      </c>
      <c r="B2" s="96"/>
      <c r="C2" s="96"/>
      <c r="D2" s="96"/>
      <c r="E2" s="96"/>
      <c r="F2" s="96"/>
      <c r="G2" s="96"/>
      <c r="H2" s="96"/>
      <c r="I2" s="96"/>
      <c r="J2" s="96"/>
      <c r="K2" s="96"/>
      <c r="L2" s="96"/>
      <c r="M2" s="96"/>
      <c r="N2" s="96"/>
    </row>
    <row r="3" spans="1:14" ht="19.5" customHeight="1" x14ac:dyDescent="0.25">
      <c r="A3" s="97"/>
      <c r="B3" s="97"/>
      <c r="C3" s="97"/>
      <c r="D3" s="97"/>
      <c r="E3" s="97"/>
      <c r="F3" s="97"/>
      <c r="G3" s="97"/>
      <c r="H3" s="97"/>
      <c r="I3" s="97"/>
      <c r="J3" s="97"/>
      <c r="K3" s="97"/>
      <c r="L3" s="97"/>
      <c r="M3" s="97"/>
      <c r="N3" s="97"/>
    </row>
    <row r="4" spans="1:14" ht="6" customHeight="1" x14ac:dyDescent="0.25">
      <c r="A4" s="92"/>
      <c r="B4" s="92"/>
      <c r="C4" s="92"/>
      <c r="D4" s="92"/>
      <c r="E4" s="92"/>
      <c r="F4" s="92"/>
      <c r="G4" s="92"/>
      <c r="H4" s="92"/>
      <c r="I4" s="92"/>
      <c r="J4" s="92"/>
      <c r="K4" s="92"/>
      <c r="L4" s="92"/>
      <c r="M4" s="92"/>
      <c r="N4" s="92"/>
    </row>
    <row r="5" spans="1:14" ht="16.5" customHeight="1" x14ac:dyDescent="0.25">
      <c r="A5" s="98" t="s">
        <v>105</v>
      </c>
      <c r="B5" s="98"/>
      <c r="C5" s="98"/>
      <c r="D5" s="98"/>
      <c r="E5" s="98"/>
      <c r="F5" s="98"/>
      <c r="G5" s="98"/>
      <c r="H5" s="98"/>
      <c r="I5" s="98"/>
      <c r="J5" s="98"/>
      <c r="K5" s="98"/>
      <c r="L5" s="98"/>
      <c r="M5" s="98"/>
      <c r="N5" s="98"/>
    </row>
    <row r="7" spans="1:14" ht="39.75" customHeight="1" x14ac:dyDescent="0.25">
      <c r="A7" s="6" t="s">
        <v>85</v>
      </c>
      <c r="B7" s="6" t="s">
        <v>86</v>
      </c>
      <c r="C7" s="6" t="s">
        <v>87</v>
      </c>
      <c r="D7" s="6" t="s">
        <v>88</v>
      </c>
      <c r="E7" s="6" t="s">
        <v>106</v>
      </c>
      <c r="F7" s="6" t="s">
        <v>90</v>
      </c>
      <c r="G7" s="6" t="s">
        <v>91</v>
      </c>
      <c r="H7" s="6" t="s">
        <v>107</v>
      </c>
      <c r="I7" s="6" t="s">
        <v>94</v>
      </c>
      <c r="J7" s="6" t="s">
        <v>95</v>
      </c>
      <c r="K7" s="6" t="s">
        <v>96</v>
      </c>
      <c r="L7" s="6" t="s">
        <v>97</v>
      </c>
      <c r="M7" s="6" t="s">
        <v>98</v>
      </c>
    </row>
    <row r="8" spans="1:14" ht="15" customHeight="1" x14ac:dyDescent="0.25">
      <c r="A8" s="7">
        <v>1</v>
      </c>
      <c r="B8" s="7">
        <f t="shared" ref="B8:B39" si="0">ROUNDUP(A8/4,0)</f>
        <v>1</v>
      </c>
      <c r="C8" s="7" t="str">
        <f>IF(A8&gt;Assumptions!$B$14,"Closed",IF(A8&lt;=Assumptions!$B$12,"Moratorium","Repayment"))</f>
        <v>Moratorium</v>
      </c>
      <c r="D8" s="8">
        <f>Assumptions!$B$10</f>
        <v>371.76</v>
      </c>
      <c r="E8" s="8">
        <f>IF(B8&gt;25,0,INDEX(Assumptions!$B$22:$B$46,B8))</f>
        <v>60</v>
      </c>
      <c r="F8" s="8">
        <f t="shared" ref="F8:F39" si="1">E8/4</f>
        <v>15</v>
      </c>
      <c r="G8" s="8">
        <f>D8*Assumptions!$B$16</f>
        <v>8.0393099999999986</v>
      </c>
      <c r="H8" s="8">
        <f>IF(OR(A8&lt;=Assumptions!$B$12,A8&gt;Assumptions!$B$14),0,MIN(Assumptions!$B$10/Assumptions!$B$14,D8))</f>
        <v>0</v>
      </c>
      <c r="I8" s="8">
        <f>IF(A8&gt;Assumptions!$B$14,0,MIN(SUMPRODUCT((Assumptions!$B$53:$B$57=A8)*Assumptions!$C$53:$C$57)*Assumptions!$B$50,D8-H8))</f>
        <v>0</v>
      </c>
      <c r="J8" s="8">
        <f t="shared" ref="J8:J39" si="2">H8+I8</f>
        <v>0</v>
      </c>
      <c r="K8" s="8">
        <f t="shared" ref="K8:K39" si="3">D8-J8</f>
        <v>371.76</v>
      </c>
      <c r="L8" s="9">
        <f>IF(OR(A8&gt;Assumptions!$B$14,(G8+H8)=0),"",F8/(G8+H8))</f>
        <v>1.8658317691443671</v>
      </c>
      <c r="M8" s="7" t="str">
        <f>IF(A8&gt;Assumptions!$B$14,"Closed",IF(A8&lt;=Assumptions!$B$12,"Moratorium",IF(D8=0,"Closed (Repaid Early)",IF(OR(L8="",L8&gt;=Assumptions!$B$11-0.005),"PASS/OK","BREACH"))))</f>
        <v>Moratorium</v>
      </c>
    </row>
    <row r="9" spans="1:14" ht="15" customHeight="1" x14ac:dyDescent="0.25">
      <c r="A9" s="7">
        <v>2</v>
      </c>
      <c r="B9" s="7">
        <f t="shared" si="0"/>
        <v>1</v>
      </c>
      <c r="C9" s="7" t="str">
        <f>IF(A9&gt;Assumptions!$B$14,"Closed",IF(A9&lt;=Assumptions!$B$12,"Moratorium","Repayment"))</f>
        <v>Moratorium</v>
      </c>
      <c r="D9" s="8">
        <f t="shared" ref="D9:D40" si="4">K8</f>
        <v>371.76</v>
      </c>
      <c r="E9" s="8">
        <f>IF(B9&gt;25,0,INDEX(Assumptions!$B$22:$B$46,B9))</f>
        <v>60</v>
      </c>
      <c r="F9" s="8">
        <f t="shared" si="1"/>
        <v>15</v>
      </c>
      <c r="G9" s="8">
        <f>D9*Assumptions!$B$16</f>
        <v>8.0393099999999986</v>
      </c>
      <c r="H9" s="8">
        <f>IF(OR(A9&lt;=Assumptions!$B$12,A9&gt;Assumptions!$B$14),0,MIN(Assumptions!$B$10/Assumptions!$B$14,D9))</f>
        <v>0</v>
      </c>
      <c r="I9" s="8">
        <f>IF(A9&gt;Assumptions!$B$14,0,MIN(SUMPRODUCT((Assumptions!$B$53:$B$57=A9)*Assumptions!$C$53:$C$57)*Assumptions!$B$50,D9-H9))</f>
        <v>0</v>
      </c>
      <c r="J9" s="8">
        <f t="shared" si="2"/>
        <v>0</v>
      </c>
      <c r="K9" s="8">
        <f t="shared" si="3"/>
        <v>371.76</v>
      </c>
      <c r="L9" s="9">
        <f>IF(OR(A9&gt;Assumptions!$B$14,(G9+H9)=0),"",F9/(G9+H9))</f>
        <v>1.8658317691443671</v>
      </c>
      <c r="M9" s="7" t="str">
        <f>IF(A9&gt;Assumptions!$B$14,"Closed",IF(A9&lt;=Assumptions!$B$12,"Moratorium",IF(D9=0,"Closed (Repaid Early)",IF(OR(L9="",L9&gt;=Assumptions!$B$11-0.005),"PASS/OK","BREACH"))))</f>
        <v>Moratorium</v>
      </c>
    </row>
    <row r="10" spans="1:14" ht="15" customHeight="1" x14ac:dyDescent="0.25">
      <c r="A10" s="10">
        <v>3</v>
      </c>
      <c r="B10" s="10">
        <f t="shared" si="0"/>
        <v>1</v>
      </c>
      <c r="C10" s="10" t="str">
        <f>IF(A10&gt;Assumptions!$B$14,"Closed",IF(A10&lt;=Assumptions!$B$12,"Moratorium","Repayment"))</f>
        <v>Repayment</v>
      </c>
      <c r="D10" s="11">
        <f t="shared" si="4"/>
        <v>371.76</v>
      </c>
      <c r="E10" s="11">
        <f>IF(B10&gt;25,0,INDEX(Assumptions!$B$22:$B$46,B10))</f>
        <v>60</v>
      </c>
      <c r="F10" s="11">
        <f t="shared" si="1"/>
        <v>15</v>
      </c>
      <c r="G10" s="11">
        <f>D10*Assumptions!$B$16</f>
        <v>8.0393099999999986</v>
      </c>
      <c r="H10" s="11">
        <f>IF(OR(A10&lt;=Assumptions!$B$12,A10&gt;Assumptions!$B$14),0,MIN(Assumptions!$B$10/Assumptions!$B$14,D10))</f>
        <v>7.289411764705882</v>
      </c>
      <c r="I10" s="11">
        <f>IF(A10&gt;Assumptions!$B$14,0,MIN(SUMPRODUCT((Assumptions!$B$53:$B$57=A10)*Assumptions!$C$53:$C$57)*Assumptions!$B$50,D10-H10))</f>
        <v>18</v>
      </c>
      <c r="J10" s="11">
        <f t="shared" si="2"/>
        <v>25.289411764705882</v>
      </c>
      <c r="K10" s="11">
        <f t="shared" si="3"/>
        <v>346.47058823529409</v>
      </c>
      <c r="L10" s="12">
        <f>IF(OR(A10&gt;Assumptions!$B$14,(G10+H10)=0),"",F10/(G10+H10))</f>
        <v>0.97855517441364503</v>
      </c>
      <c r="M10" s="10" t="str">
        <f>IF(A10&gt;Assumptions!$B$14,"Closed",IF(A10&lt;=Assumptions!$B$12,"Moratorium",IF(D10=0,"Closed (Repaid Early)",IF(OR(L10="",L10&gt;=Assumptions!$B$11-0.005),"PASS/OK","BREACH"))))</f>
        <v>BREACH</v>
      </c>
    </row>
    <row r="11" spans="1:14" ht="15" customHeight="1" x14ac:dyDescent="0.25">
      <c r="A11" s="13">
        <v>4</v>
      </c>
      <c r="B11" s="13">
        <f t="shared" si="0"/>
        <v>1</v>
      </c>
      <c r="C11" s="13" t="str">
        <f>IF(A11&gt;Assumptions!$B$14,"Closed",IF(A11&lt;=Assumptions!$B$12,"Moratorium","Repayment"))</f>
        <v>Repayment</v>
      </c>
      <c r="D11" s="14">
        <f t="shared" si="4"/>
        <v>346.47058823529409</v>
      </c>
      <c r="E11" s="14">
        <f>IF(B11&gt;25,0,INDEX(Assumptions!$B$22:$B$46,B11))</f>
        <v>60</v>
      </c>
      <c r="F11" s="14">
        <f t="shared" si="1"/>
        <v>15</v>
      </c>
      <c r="G11" s="14">
        <f>D11*Assumptions!$B$16</f>
        <v>7.4924264705882342</v>
      </c>
      <c r="H11" s="11">
        <f>IF(OR(A11&lt;=Assumptions!$B$12,A11&gt;Assumptions!$B$14),0,MIN(Assumptions!$B$10/Assumptions!$B$14,D11))</f>
        <v>7.289411764705882</v>
      </c>
      <c r="I11" s="14">
        <f>IF(A11&gt;Assumptions!$B$14,0,MIN(SUMPRODUCT((Assumptions!$B$53:$B$57=A11)*Assumptions!$C$53:$C$57)*Assumptions!$B$50,D11-H11))</f>
        <v>0</v>
      </c>
      <c r="J11" s="14">
        <f t="shared" si="2"/>
        <v>7.289411764705882</v>
      </c>
      <c r="K11" s="14">
        <f t="shared" si="3"/>
        <v>339.18117647058818</v>
      </c>
      <c r="L11" s="15">
        <f>IF(OR(A11&gt;Assumptions!$B$14,(G11+H11)=0),"",F11/(G11+H11))</f>
        <v>1.0147587709480534</v>
      </c>
      <c r="M11" s="13" t="str">
        <f>IF(A11&gt;Assumptions!$B$14,"Closed",IF(A11&lt;=Assumptions!$B$12,"Moratorium",IF(D11=0,"Closed (Repaid Early)",IF(OR(L11="",L11&gt;=Assumptions!$B$11-0.005),"PASS/OK","BREACH"))))</f>
        <v>BREACH</v>
      </c>
    </row>
    <row r="12" spans="1:14" ht="15" customHeight="1" x14ac:dyDescent="0.25">
      <c r="A12" s="10">
        <v>5</v>
      </c>
      <c r="B12" s="10">
        <f t="shared" si="0"/>
        <v>2</v>
      </c>
      <c r="C12" s="10" t="str">
        <f>IF(A12&gt;Assumptions!$B$14,"Closed",IF(A12&lt;=Assumptions!$B$12,"Moratorium","Repayment"))</f>
        <v>Repayment</v>
      </c>
      <c r="D12" s="11">
        <f t="shared" si="4"/>
        <v>339.18117647058818</v>
      </c>
      <c r="E12" s="11">
        <f>IF(B12&gt;25,0,INDEX(Assumptions!$B$22:$B$46,B12))</f>
        <v>60</v>
      </c>
      <c r="F12" s="11">
        <f t="shared" si="1"/>
        <v>15</v>
      </c>
      <c r="G12" s="11">
        <f>D12*Assumptions!$B$16</f>
        <v>7.3347929411764685</v>
      </c>
      <c r="H12" s="11">
        <f>IF(OR(A12&lt;=Assumptions!$B$12,A12&gt;Assumptions!$B$14),0,MIN(Assumptions!$B$10/Assumptions!$B$14,D12))</f>
        <v>7.289411764705882</v>
      </c>
      <c r="I12" s="11">
        <f>IF(A12&gt;Assumptions!$B$14,0,MIN(SUMPRODUCT((Assumptions!$B$53:$B$57=A12)*Assumptions!$C$53:$C$57)*Assumptions!$B$50,D12-H12))</f>
        <v>0</v>
      </c>
      <c r="J12" s="11">
        <f t="shared" si="2"/>
        <v>7.289411764705882</v>
      </c>
      <c r="K12" s="11">
        <f t="shared" si="3"/>
        <v>331.89176470588228</v>
      </c>
      <c r="L12" s="12">
        <f>IF(OR(A12&gt;Assumptions!$B$14,(G12+H12)=0),"",F12/(G12+H12))</f>
        <v>1.0256968020945776</v>
      </c>
      <c r="M12" s="10" t="str">
        <f>IF(A12&gt;Assumptions!$B$14,"Closed",IF(A12&lt;=Assumptions!$B$12,"Moratorium",IF(D12=0,"Closed (Repaid Early)",IF(OR(L12="",L12&gt;=Assumptions!$B$11-0.005),"PASS/OK","BREACH"))))</f>
        <v>BREACH</v>
      </c>
    </row>
    <row r="13" spans="1:14" ht="15" customHeight="1" x14ac:dyDescent="0.25">
      <c r="A13" s="13">
        <v>6</v>
      </c>
      <c r="B13" s="13">
        <f t="shared" si="0"/>
        <v>2</v>
      </c>
      <c r="C13" s="13" t="str">
        <f>IF(A13&gt;Assumptions!$B$14,"Closed",IF(A13&lt;=Assumptions!$B$12,"Moratorium","Repayment"))</f>
        <v>Repayment</v>
      </c>
      <c r="D13" s="14">
        <f t="shared" si="4"/>
        <v>331.89176470588228</v>
      </c>
      <c r="E13" s="14">
        <f>IF(B13&gt;25,0,INDEX(Assumptions!$B$22:$B$46,B13))</f>
        <v>60</v>
      </c>
      <c r="F13" s="14">
        <f t="shared" si="1"/>
        <v>15</v>
      </c>
      <c r="G13" s="14">
        <f>D13*Assumptions!$B$16</f>
        <v>7.1771594117647037</v>
      </c>
      <c r="H13" s="11">
        <f>IF(OR(A13&lt;=Assumptions!$B$12,A13&gt;Assumptions!$B$14),0,MIN(Assumptions!$B$10/Assumptions!$B$14,D13))</f>
        <v>7.289411764705882</v>
      </c>
      <c r="I13" s="14">
        <f>IF(A13&gt;Assumptions!$B$14,0,MIN(SUMPRODUCT((Assumptions!$B$53:$B$57=A13)*Assumptions!$C$53:$C$57)*Assumptions!$B$50,D13-H13))</f>
        <v>45</v>
      </c>
      <c r="J13" s="14">
        <f t="shared" si="2"/>
        <v>52.289411764705882</v>
      </c>
      <c r="K13" s="14">
        <f t="shared" si="3"/>
        <v>279.60235294117638</v>
      </c>
      <c r="L13" s="15">
        <f>IF(OR(A13&gt;Assumptions!$B$14,(G13+H13)=0),"",F13/(G13+H13))</f>
        <v>1.0368732035409343</v>
      </c>
      <c r="M13" s="13" t="str">
        <f>IF(A13&gt;Assumptions!$B$14,"Closed",IF(A13&lt;=Assumptions!$B$12,"Moratorium",IF(D13=0,"Closed (Repaid Early)",IF(OR(L13="",L13&gt;=Assumptions!$B$11-0.005),"PASS/OK","BREACH"))))</f>
        <v>BREACH</v>
      </c>
    </row>
    <row r="14" spans="1:14" ht="15" customHeight="1" x14ac:dyDescent="0.25">
      <c r="A14" s="10">
        <v>7</v>
      </c>
      <c r="B14" s="10">
        <f t="shared" si="0"/>
        <v>2</v>
      </c>
      <c r="C14" s="10" t="str">
        <f>IF(A14&gt;Assumptions!$B$14,"Closed",IF(A14&lt;=Assumptions!$B$12,"Moratorium","Repayment"))</f>
        <v>Repayment</v>
      </c>
      <c r="D14" s="11">
        <f t="shared" si="4"/>
        <v>279.60235294117638</v>
      </c>
      <c r="E14" s="11">
        <f>IF(B14&gt;25,0,INDEX(Assumptions!$B$22:$B$46,B14))</f>
        <v>60</v>
      </c>
      <c r="F14" s="11">
        <f t="shared" si="1"/>
        <v>15</v>
      </c>
      <c r="G14" s="11">
        <f>D14*Assumptions!$B$16</f>
        <v>6.0464008823529385</v>
      </c>
      <c r="H14" s="11">
        <f>IF(OR(A14&lt;=Assumptions!$B$12,A14&gt;Assumptions!$B$14),0,MIN(Assumptions!$B$10/Assumptions!$B$14,D14))</f>
        <v>7.289411764705882</v>
      </c>
      <c r="I14" s="11">
        <f>IF(A14&gt;Assumptions!$B$14,0,MIN(SUMPRODUCT((Assumptions!$B$53:$B$57=A14)*Assumptions!$C$53:$C$57)*Assumptions!$B$50,D14-H14))</f>
        <v>0</v>
      </c>
      <c r="J14" s="11">
        <f t="shared" si="2"/>
        <v>7.289411764705882</v>
      </c>
      <c r="K14" s="11">
        <f t="shared" si="3"/>
        <v>272.31294117647047</v>
      </c>
      <c r="L14" s="12">
        <f>IF(OR(A14&gt;Assumptions!$B$14,(G14+H14)=0),"",F14/(G14+H14))</f>
        <v>1.1247908467961427</v>
      </c>
      <c r="M14" s="10" t="str">
        <f>IF(A14&gt;Assumptions!$B$14,"Closed",IF(A14&lt;=Assumptions!$B$12,"Moratorium",IF(D14=0,"Closed (Repaid Early)",IF(OR(L14="",L14&gt;=Assumptions!$B$11-0.005),"PASS/OK","BREACH"))))</f>
        <v>BREACH</v>
      </c>
    </row>
    <row r="15" spans="1:14" ht="15" customHeight="1" x14ac:dyDescent="0.25">
      <c r="A15" s="13">
        <v>8</v>
      </c>
      <c r="B15" s="13">
        <f t="shared" si="0"/>
        <v>2</v>
      </c>
      <c r="C15" s="13" t="str">
        <f>IF(A15&gt;Assumptions!$B$14,"Closed",IF(A15&lt;=Assumptions!$B$12,"Moratorium","Repayment"))</f>
        <v>Repayment</v>
      </c>
      <c r="D15" s="14">
        <f t="shared" si="4"/>
        <v>272.31294117647047</v>
      </c>
      <c r="E15" s="14">
        <f>IF(B15&gt;25,0,INDEX(Assumptions!$B$22:$B$46,B15))</f>
        <v>60</v>
      </c>
      <c r="F15" s="14">
        <f t="shared" si="1"/>
        <v>15</v>
      </c>
      <c r="G15" s="14">
        <f>D15*Assumptions!$B$16</f>
        <v>5.8887673529411737</v>
      </c>
      <c r="H15" s="11">
        <f>IF(OR(A15&lt;=Assumptions!$B$12,A15&gt;Assumptions!$B$14),0,MIN(Assumptions!$B$10/Assumptions!$B$14,D15))</f>
        <v>7.289411764705882</v>
      </c>
      <c r="I15" s="14">
        <f>IF(A15&gt;Assumptions!$B$14,0,MIN(SUMPRODUCT((Assumptions!$B$53:$B$57=A15)*Assumptions!$C$53:$C$57)*Assumptions!$B$50,D15-H15))</f>
        <v>0</v>
      </c>
      <c r="J15" s="14">
        <f t="shared" si="2"/>
        <v>7.289411764705882</v>
      </c>
      <c r="K15" s="14">
        <f t="shared" si="3"/>
        <v>265.02352941176457</v>
      </c>
      <c r="L15" s="15">
        <f>IF(OR(A15&gt;Assumptions!$B$14,(G15+H15)=0),"",F15/(G15+H15))</f>
        <v>1.1382452663671359</v>
      </c>
      <c r="M15" s="13" t="str">
        <f>IF(A15&gt;Assumptions!$B$14,"Closed",IF(A15&lt;=Assumptions!$B$12,"Moratorium",IF(D15=0,"Closed (Repaid Early)",IF(OR(L15="",L15&gt;=Assumptions!$B$11-0.005),"PASS/OK","BREACH"))))</f>
        <v>BREACH</v>
      </c>
    </row>
    <row r="16" spans="1:14" ht="15" customHeight="1" x14ac:dyDescent="0.25">
      <c r="A16" s="10">
        <v>9</v>
      </c>
      <c r="B16" s="10">
        <f t="shared" si="0"/>
        <v>3</v>
      </c>
      <c r="C16" s="10" t="str">
        <f>IF(A16&gt;Assumptions!$B$14,"Closed",IF(A16&lt;=Assumptions!$B$12,"Moratorium","Repayment"))</f>
        <v>Repayment</v>
      </c>
      <c r="D16" s="11">
        <f t="shared" si="4"/>
        <v>265.02352941176457</v>
      </c>
      <c r="E16" s="11">
        <f>IF(B16&gt;25,0,INDEX(Assumptions!$B$22:$B$46,B16))</f>
        <v>60</v>
      </c>
      <c r="F16" s="11">
        <f t="shared" si="1"/>
        <v>15</v>
      </c>
      <c r="G16" s="11">
        <f>D16*Assumptions!$B$16</f>
        <v>5.731133823529408</v>
      </c>
      <c r="H16" s="11">
        <f>IF(OR(A16&lt;=Assumptions!$B$12,A16&gt;Assumptions!$B$14),0,MIN(Assumptions!$B$10/Assumptions!$B$14,D16))</f>
        <v>7.289411764705882</v>
      </c>
      <c r="I16" s="11">
        <f>IF(A16&gt;Assumptions!$B$14,0,MIN(SUMPRODUCT((Assumptions!$B$53:$B$57=A16)*Assumptions!$C$53:$C$57)*Assumptions!$B$50,D16-H16))</f>
        <v>0</v>
      </c>
      <c r="J16" s="11">
        <f t="shared" si="2"/>
        <v>7.289411764705882</v>
      </c>
      <c r="K16" s="11">
        <f t="shared" si="3"/>
        <v>257.73411764705867</v>
      </c>
      <c r="L16" s="12">
        <f>IF(OR(A16&gt;Assumptions!$B$14,(G16+H16)=0),"",F16/(G16+H16))</f>
        <v>1.1520254584073071</v>
      </c>
      <c r="M16" s="10" t="str">
        <f>IF(A16&gt;Assumptions!$B$14,"Closed",IF(A16&lt;=Assumptions!$B$12,"Moratorium",IF(D16=0,"Closed (Repaid Early)",IF(OR(L16="",L16&gt;=Assumptions!$B$11-0.005),"PASS/OK","BREACH"))))</f>
        <v>BREACH</v>
      </c>
    </row>
    <row r="17" spans="1:13" ht="15" customHeight="1" x14ac:dyDescent="0.25">
      <c r="A17" s="13">
        <v>10</v>
      </c>
      <c r="B17" s="13">
        <f t="shared" si="0"/>
        <v>3</v>
      </c>
      <c r="C17" s="13" t="str">
        <f>IF(A17&gt;Assumptions!$B$14,"Closed",IF(A17&lt;=Assumptions!$B$12,"Moratorium","Repayment"))</f>
        <v>Repayment</v>
      </c>
      <c r="D17" s="14">
        <f t="shared" si="4"/>
        <v>257.73411764705867</v>
      </c>
      <c r="E17" s="14">
        <f>IF(B17&gt;25,0,INDEX(Assumptions!$B$22:$B$46,B17))</f>
        <v>60</v>
      </c>
      <c r="F17" s="14">
        <f t="shared" si="1"/>
        <v>15</v>
      </c>
      <c r="G17" s="14">
        <f>D17*Assumptions!$B$16</f>
        <v>5.5735002941176433</v>
      </c>
      <c r="H17" s="11">
        <f>IF(OR(A17&lt;=Assumptions!$B$12,A17&gt;Assumptions!$B$14),0,MIN(Assumptions!$B$10/Assumptions!$B$14,D17))</f>
        <v>7.289411764705882</v>
      </c>
      <c r="I17" s="14">
        <f>IF(A17&gt;Assumptions!$B$14,0,MIN(SUMPRODUCT((Assumptions!$B$53:$B$57=A17)*Assumptions!$C$53:$C$57)*Assumptions!$B$50,D17-H17))</f>
        <v>27</v>
      </c>
      <c r="J17" s="14">
        <f t="shared" si="2"/>
        <v>34.289411764705882</v>
      </c>
      <c r="K17" s="14">
        <f t="shared" si="3"/>
        <v>223.44470588235279</v>
      </c>
      <c r="L17" s="15">
        <f>IF(OR(A17&gt;Assumptions!$B$14,(G17+H17)=0),"",F17/(G17+H17))</f>
        <v>1.1661433998307176</v>
      </c>
      <c r="M17" s="13" t="str">
        <f>IF(A17&gt;Assumptions!$B$14,"Closed",IF(A17&lt;=Assumptions!$B$12,"Moratorium",IF(D17=0,"Closed (Repaid Early)",IF(OR(L17="",L17&gt;=Assumptions!$B$11-0.005),"PASS/OK","BREACH"))))</f>
        <v>BREACH</v>
      </c>
    </row>
    <row r="18" spans="1:13" ht="15" customHeight="1" x14ac:dyDescent="0.25">
      <c r="A18" s="10">
        <v>11</v>
      </c>
      <c r="B18" s="10">
        <f t="shared" si="0"/>
        <v>3</v>
      </c>
      <c r="C18" s="10" t="str">
        <f>IF(A18&gt;Assumptions!$B$14,"Closed",IF(A18&lt;=Assumptions!$B$12,"Moratorium","Repayment"))</f>
        <v>Repayment</v>
      </c>
      <c r="D18" s="11">
        <f t="shared" si="4"/>
        <v>223.44470588235279</v>
      </c>
      <c r="E18" s="11">
        <f>IF(B18&gt;25,0,INDEX(Assumptions!$B$22:$B$46,B18))</f>
        <v>60</v>
      </c>
      <c r="F18" s="11">
        <f t="shared" si="1"/>
        <v>15</v>
      </c>
      <c r="G18" s="11">
        <f>D18*Assumptions!$B$16</f>
        <v>4.8319917647058785</v>
      </c>
      <c r="H18" s="11">
        <f>IF(OR(A18&lt;=Assumptions!$B$12,A18&gt;Assumptions!$B$14),0,MIN(Assumptions!$B$10/Assumptions!$B$14,D18))</f>
        <v>7.289411764705882</v>
      </c>
      <c r="I18" s="11">
        <f>IF(A18&gt;Assumptions!$B$14,0,MIN(SUMPRODUCT((Assumptions!$B$53:$B$57=A18)*Assumptions!$C$53:$C$57)*Assumptions!$B$50,D18-H18))</f>
        <v>0</v>
      </c>
      <c r="J18" s="11">
        <f t="shared" si="2"/>
        <v>7.289411764705882</v>
      </c>
      <c r="K18" s="11">
        <f t="shared" si="3"/>
        <v>216.15529411764692</v>
      </c>
      <c r="L18" s="12">
        <f>IF(OR(A18&gt;Assumptions!$B$14,(G18+H18)=0),"",F18/(G18+H18))</f>
        <v>1.2374804587276977</v>
      </c>
      <c r="M18" s="10" t="str">
        <f>IF(A18&gt;Assumptions!$B$14,"Closed",IF(A18&lt;=Assumptions!$B$12,"Moratorium",IF(D18=0,"Closed (Repaid Early)",IF(OR(L18="",L18&gt;=Assumptions!$B$11-0.005),"PASS/OK","BREACH"))))</f>
        <v>BREACH</v>
      </c>
    </row>
    <row r="19" spans="1:13" ht="15" customHeight="1" x14ac:dyDescent="0.25">
      <c r="A19" s="13">
        <v>12</v>
      </c>
      <c r="B19" s="13">
        <f t="shared" si="0"/>
        <v>3</v>
      </c>
      <c r="C19" s="13" t="str">
        <f>IF(A19&gt;Assumptions!$B$14,"Closed",IF(A19&lt;=Assumptions!$B$12,"Moratorium","Repayment"))</f>
        <v>Repayment</v>
      </c>
      <c r="D19" s="14">
        <f t="shared" si="4"/>
        <v>216.15529411764692</v>
      </c>
      <c r="E19" s="14">
        <f>IF(B19&gt;25,0,INDEX(Assumptions!$B$22:$B$46,B19))</f>
        <v>60</v>
      </c>
      <c r="F19" s="14">
        <f t="shared" si="1"/>
        <v>15</v>
      </c>
      <c r="G19" s="14">
        <f>D19*Assumptions!$B$16</f>
        <v>4.6743582352941146</v>
      </c>
      <c r="H19" s="31">
        <f>IF(OR(A19&lt;=Assumptions!$B$12,A19&gt;Assumptions!$B$14),0,MIN(Assumptions!$B$10/Assumptions!$B$14,D19))</f>
        <v>7.289411764705882</v>
      </c>
      <c r="I19" s="14">
        <f>IF(A19&gt;Assumptions!$B$14,0,MIN(SUMPRODUCT((Assumptions!$B$53:$B$57=A19)*Assumptions!$C$53:$C$57)*Assumptions!$B$50,D19-H19))</f>
        <v>0</v>
      </c>
      <c r="J19" s="14">
        <f t="shared" si="2"/>
        <v>7.289411764705882</v>
      </c>
      <c r="K19" s="14">
        <f t="shared" si="3"/>
        <v>208.86588235294104</v>
      </c>
      <c r="L19" s="15">
        <f>IF(OR(A19&gt;Assumptions!$B$14,(G19+H19)=0),"",F19/(G19+H19))</f>
        <v>1.2537853870477287</v>
      </c>
      <c r="M19" s="13" t="str">
        <f>IF(A19&gt;Assumptions!$B$14,"Closed",IF(A19&lt;=Assumptions!$B$12,"Moratorium",IF(D19=0,"Closed (Repaid Early)",IF(OR(L19="",L19&gt;=Assumptions!$B$11-0.005),"PASS/OK","BREACH"))))</f>
        <v>BREACH</v>
      </c>
    </row>
    <row r="20" spans="1:13" ht="15" customHeight="1" x14ac:dyDescent="0.25">
      <c r="A20" s="10">
        <v>13</v>
      </c>
      <c r="B20" s="10">
        <f t="shared" si="0"/>
        <v>4</v>
      </c>
      <c r="C20" s="10" t="str">
        <f>IF(A20&gt;Assumptions!$B$14,"Closed",IF(A20&lt;=Assumptions!$B$12,"Moratorium","Repayment"))</f>
        <v>Repayment</v>
      </c>
      <c r="D20" s="11">
        <f t="shared" si="4"/>
        <v>208.86588235294104</v>
      </c>
      <c r="E20" s="11">
        <f>IF(B20&gt;25,0,INDEX(Assumptions!$B$22:$B$46,B20))</f>
        <v>60</v>
      </c>
      <c r="F20" s="11">
        <f t="shared" si="1"/>
        <v>15</v>
      </c>
      <c r="G20" s="32">
        <f>D20*Assumptions!$B$16</f>
        <v>4.5167247058823499</v>
      </c>
      <c r="H20" s="33">
        <f>IF(OR(A20&lt;=Assumptions!$B$12,A20&gt;Assumptions!$B$14),0,MIN($K$19/(Assumptions!$B$14-$A$19),D20))</f>
        <v>5.3555354449472059</v>
      </c>
      <c r="I20" s="34">
        <f>IF(A20&gt;Assumptions!$B$14,0,MIN(SUMPRODUCT((Assumptions!$B$53:$B$57=A20)*Assumptions!$C$53:$C$57)*Assumptions!$B$50,D20-H20))</f>
        <v>0</v>
      </c>
      <c r="J20" s="11">
        <f t="shared" si="2"/>
        <v>5.3555354449472059</v>
      </c>
      <c r="K20" s="11">
        <f t="shared" si="3"/>
        <v>203.51034690799383</v>
      </c>
      <c r="L20" s="12">
        <f>IF(OR(A20&gt;Assumptions!$B$14,(G20+H20)=0),"",F20/(G20+H20))</f>
        <v>1.5194089064538647</v>
      </c>
      <c r="M20" s="10" t="str">
        <f>IF(A20&gt;Assumptions!$B$14,"Closed",IF(A20&lt;=Assumptions!$B$12,"Moratorium",IF(D20=0,"Closed (Repaid Early)",IF(OR(L20="",L20&gt;=Assumptions!$B$11-0.005),"PASS/OK","BREACH"))))</f>
        <v>PASS/OK</v>
      </c>
    </row>
    <row r="21" spans="1:13" ht="15" customHeight="1" x14ac:dyDescent="0.25">
      <c r="A21" s="13">
        <v>14</v>
      </c>
      <c r="B21" s="13">
        <f t="shared" si="0"/>
        <v>4</v>
      </c>
      <c r="C21" s="13" t="str">
        <f>IF(A21&gt;Assumptions!$B$14,"Closed",IF(A21&lt;=Assumptions!$B$12,"Moratorium","Repayment"))</f>
        <v>Repayment</v>
      </c>
      <c r="D21" s="14">
        <f t="shared" si="4"/>
        <v>203.51034690799383</v>
      </c>
      <c r="E21" s="14">
        <f>IF(B21&gt;25,0,INDEX(Assumptions!$B$22:$B$46,B21))</f>
        <v>60</v>
      </c>
      <c r="F21" s="14">
        <f t="shared" si="1"/>
        <v>15</v>
      </c>
      <c r="G21" s="35">
        <f>D21*Assumptions!$B$16</f>
        <v>4.4009112518853666</v>
      </c>
      <c r="H21" s="33">
        <f>IF(OR(A21&lt;=Assumptions!$B$12,A21&gt;Assumptions!$B$14),0,MIN($K$19/(Assumptions!$B$14-$A$19),D21))</f>
        <v>5.3555354449472059</v>
      </c>
      <c r="I21" s="36">
        <f>IF(A21&gt;Assumptions!$B$14,0,MIN(SUMPRODUCT((Assumptions!$B$53:$B$57=A21)*Assumptions!$C$53:$C$57)*Assumptions!$B$50,D21-H21))</f>
        <v>0</v>
      </c>
      <c r="J21" s="14">
        <f t="shared" si="2"/>
        <v>5.3555354449472059</v>
      </c>
      <c r="K21" s="14">
        <f t="shared" si="3"/>
        <v>198.15481146304663</v>
      </c>
      <c r="L21" s="15">
        <f>IF(OR(A21&gt;Assumptions!$B$14,(G21+H21)=0),"",F21/(G21+H21))</f>
        <v>1.5374449803399988</v>
      </c>
      <c r="M21" s="13" t="str">
        <f>IF(A21&gt;Assumptions!$B$14,"Closed",IF(A21&lt;=Assumptions!$B$12,"Moratorium",IF(D21=0,"Closed (Repaid Early)",IF(OR(L21="",L21&gt;=Assumptions!$B$11-0.005),"PASS/OK","BREACH"))))</f>
        <v>PASS/OK</v>
      </c>
    </row>
    <row r="22" spans="1:13" ht="15" customHeight="1" x14ac:dyDescent="0.25">
      <c r="A22" s="10">
        <v>15</v>
      </c>
      <c r="B22" s="10">
        <f t="shared" si="0"/>
        <v>4</v>
      </c>
      <c r="C22" s="10" t="str">
        <f>IF(A22&gt;Assumptions!$B$14,"Closed",IF(A22&lt;=Assumptions!$B$12,"Moratorium","Repayment"))</f>
        <v>Repayment</v>
      </c>
      <c r="D22" s="11">
        <f t="shared" si="4"/>
        <v>198.15481146304663</v>
      </c>
      <c r="E22" s="11">
        <f>IF(B22&gt;25,0,INDEX(Assumptions!$B$22:$B$46,B22))</f>
        <v>60</v>
      </c>
      <c r="F22" s="11">
        <f t="shared" si="1"/>
        <v>15</v>
      </c>
      <c r="G22" s="32">
        <f>D22*Assumptions!$B$16</f>
        <v>4.2850977978883833</v>
      </c>
      <c r="H22" s="33">
        <f>IF(OR(A22&lt;=Assumptions!$B$12,A22&gt;Assumptions!$B$14),0,MIN($K$19/(Assumptions!$B$14-$A$19),D22))</f>
        <v>5.3555354449472059</v>
      </c>
      <c r="I22" s="34">
        <f>IF(A22&gt;Assumptions!$B$14,0,MIN(SUMPRODUCT((Assumptions!$B$53:$B$57=A22)*Assumptions!$C$53:$C$57)*Assumptions!$B$50,D22-H22))</f>
        <v>0</v>
      </c>
      <c r="J22" s="11">
        <f t="shared" si="2"/>
        <v>5.3555354449472059</v>
      </c>
      <c r="K22" s="11">
        <f t="shared" si="3"/>
        <v>192.79927601809942</v>
      </c>
      <c r="L22" s="12">
        <f>IF(OR(A22&gt;Assumptions!$B$14,(G22+H22)=0),"",F22/(G22+H22))</f>
        <v>1.5559143909086273</v>
      </c>
      <c r="M22" s="10" t="str">
        <f>IF(A22&gt;Assumptions!$B$14,"Closed",IF(A22&lt;=Assumptions!$B$12,"Moratorium",IF(D22=0,"Closed (Repaid Early)",IF(OR(L22="",L22&gt;=Assumptions!$B$11-0.005),"PASS/OK","BREACH"))))</f>
        <v>PASS/OK</v>
      </c>
    </row>
    <row r="23" spans="1:13" ht="15" customHeight="1" x14ac:dyDescent="0.25">
      <c r="A23" s="13">
        <v>16</v>
      </c>
      <c r="B23" s="13">
        <f t="shared" si="0"/>
        <v>4</v>
      </c>
      <c r="C23" s="13" t="str">
        <f>IF(A23&gt;Assumptions!$B$14,"Closed",IF(A23&lt;=Assumptions!$B$12,"Moratorium","Repayment"))</f>
        <v>Repayment</v>
      </c>
      <c r="D23" s="14">
        <f t="shared" si="4"/>
        <v>192.79927601809942</v>
      </c>
      <c r="E23" s="14">
        <f>IF(B23&gt;25,0,INDEX(Assumptions!$B$22:$B$46,B23))</f>
        <v>60</v>
      </c>
      <c r="F23" s="14">
        <f t="shared" si="1"/>
        <v>15</v>
      </c>
      <c r="G23" s="35">
        <f>D23*Assumptions!$B$16</f>
        <v>4.1692843438914</v>
      </c>
      <c r="H23" s="33">
        <f>IF(OR(A23&lt;=Assumptions!$B$12,A23&gt;Assumptions!$B$14),0,MIN($K$19/(Assumptions!$B$14-$A$19),D23))</f>
        <v>5.3555354449472059</v>
      </c>
      <c r="I23" s="36">
        <f>IF(A23&gt;Assumptions!$B$14,0,MIN(SUMPRODUCT((Assumptions!$B$53:$B$57=A23)*Assumptions!$C$53:$C$57)*Assumptions!$B$50,D23-H23))</f>
        <v>0</v>
      </c>
      <c r="J23" s="14">
        <f t="shared" si="2"/>
        <v>5.3555354449472059</v>
      </c>
      <c r="K23" s="14">
        <f t="shared" si="3"/>
        <v>187.44374057315221</v>
      </c>
      <c r="L23" s="15">
        <f>IF(OR(A23&gt;Assumptions!$B$14,(G23+H23)=0),"",F23/(G23+H23))</f>
        <v>1.5748329451416321</v>
      </c>
      <c r="M23" s="13" t="str">
        <f>IF(A23&gt;Assumptions!$B$14,"Closed",IF(A23&lt;=Assumptions!$B$12,"Moratorium",IF(D23=0,"Closed (Repaid Early)",IF(OR(L23="",L23&gt;=Assumptions!$B$11-0.005),"PASS/OK","BREACH"))))</f>
        <v>PASS/OK</v>
      </c>
    </row>
    <row r="24" spans="1:13" ht="15" customHeight="1" x14ac:dyDescent="0.25">
      <c r="A24" s="10">
        <v>17</v>
      </c>
      <c r="B24" s="10">
        <f t="shared" si="0"/>
        <v>5</v>
      </c>
      <c r="C24" s="10" t="str">
        <f>IF(A24&gt;Assumptions!$B$14,"Closed",IF(A24&lt;=Assumptions!$B$12,"Moratorium","Repayment"))</f>
        <v>Repayment</v>
      </c>
      <c r="D24" s="11">
        <f t="shared" si="4"/>
        <v>187.44374057315221</v>
      </c>
      <c r="E24" s="11">
        <f>IF(B24&gt;25,0,INDEX(Assumptions!$B$22:$B$46,B24))</f>
        <v>60</v>
      </c>
      <c r="F24" s="11">
        <f t="shared" si="1"/>
        <v>15</v>
      </c>
      <c r="G24" s="32">
        <f>D24*Assumptions!$B$16</f>
        <v>4.0534708898944158</v>
      </c>
      <c r="H24" s="33">
        <f>IF(OR(A24&lt;=Assumptions!$B$12,A24&gt;Assumptions!$B$14),0,MIN($K$19/(Assumptions!$B$14-$A$19),D24))</f>
        <v>5.3555354449472059</v>
      </c>
      <c r="I24" s="34">
        <f>IF(A24&gt;Assumptions!$B$14,0,MIN(SUMPRODUCT((Assumptions!$B$53:$B$57=A24)*Assumptions!$C$53:$C$57)*Assumptions!$B$50,D24-H24))</f>
        <v>0</v>
      </c>
      <c r="J24" s="11">
        <f t="shared" si="2"/>
        <v>5.3555354449472059</v>
      </c>
      <c r="K24" s="11">
        <f t="shared" si="3"/>
        <v>182.088205128205</v>
      </c>
      <c r="L24" s="12">
        <f>IF(OR(A24&gt;Assumptions!$B$14,(G24+H24)=0),"",F24/(G24+H24))</f>
        <v>1.5942172282799818</v>
      </c>
      <c r="M24" s="10" t="str">
        <f>IF(A24&gt;Assumptions!$B$14,"Closed",IF(A24&lt;=Assumptions!$B$12,"Moratorium",IF(D24=0,"Closed (Repaid Early)",IF(OR(L24="",L24&gt;=Assumptions!$B$11-0.005),"PASS/OK","BREACH"))))</f>
        <v>PASS/OK</v>
      </c>
    </row>
    <row r="25" spans="1:13" ht="15" customHeight="1" x14ac:dyDescent="0.25">
      <c r="A25" s="13">
        <v>18</v>
      </c>
      <c r="B25" s="13">
        <f t="shared" si="0"/>
        <v>5</v>
      </c>
      <c r="C25" s="13" t="str">
        <f>IF(A25&gt;Assumptions!$B$14,"Closed",IF(A25&lt;=Assumptions!$B$12,"Moratorium","Repayment"))</f>
        <v>Repayment</v>
      </c>
      <c r="D25" s="14">
        <f t="shared" si="4"/>
        <v>182.088205128205</v>
      </c>
      <c r="E25" s="14">
        <f>IF(B25&gt;25,0,INDEX(Assumptions!$B$22:$B$46,B25))</f>
        <v>60</v>
      </c>
      <c r="F25" s="14">
        <f t="shared" si="1"/>
        <v>15</v>
      </c>
      <c r="G25" s="35">
        <f>D25*Assumptions!$B$16</f>
        <v>3.937657435897433</v>
      </c>
      <c r="H25" s="33">
        <f>IF(OR(A25&lt;=Assumptions!$B$12,A25&gt;Assumptions!$B$14),0,MIN($K$19/(Assumptions!$B$14-$A$19),D25))</f>
        <v>5.3555354449472059</v>
      </c>
      <c r="I25" s="36">
        <f>IF(A25&gt;Assumptions!$B$14,0,MIN(SUMPRODUCT((Assumptions!$B$53:$B$57=A25)*Assumptions!$C$53:$C$57)*Assumptions!$B$50,D25-H25))</f>
        <v>0</v>
      </c>
      <c r="J25" s="14">
        <f t="shared" si="2"/>
        <v>5.3555354449472059</v>
      </c>
      <c r="K25" s="14">
        <f t="shared" si="3"/>
        <v>176.7326696832578</v>
      </c>
      <c r="L25" s="15">
        <f>IF(OR(A25&gt;Assumptions!$B$14,(G25+H25)=0),"",F25/(G25+H25))</f>
        <v>1.6140846523177597</v>
      </c>
      <c r="M25" s="13" t="str">
        <f>IF(A25&gt;Assumptions!$B$14,"Closed",IF(A25&lt;=Assumptions!$B$12,"Moratorium",IF(D25=0,"Closed (Repaid Early)",IF(OR(L25="",L25&gt;=Assumptions!$B$11-0.005),"PASS/OK","BREACH"))))</f>
        <v>PASS/OK</v>
      </c>
    </row>
    <row r="26" spans="1:13" ht="15" customHeight="1" x14ac:dyDescent="0.25">
      <c r="A26" s="10">
        <v>19</v>
      </c>
      <c r="B26" s="10">
        <f t="shared" si="0"/>
        <v>5</v>
      </c>
      <c r="C26" s="10" t="str">
        <f>IF(A26&gt;Assumptions!$B$14,"Closed",IF(A26&lt;=Assumptions!$B$12,"Moratorium","Repayment"))</f>
        <v>Repayment</v>
      </c>
      <c r="D26" s="11">
        <f t="shared" si="4"/>
        <v>176.7326696832578</v>
      </c>
      <c r="E26" s="11">
        <f>IF(B26&gt;25,0,INDEX(Assumptions!$B$22:$B$46,B26))</f>
        <v>60</v>
      </c>
      <c r="F26" s="11">
        <f t="shared" si="1"/>
        <v>15</v>
      </c>
      <c r="G26" s="32">
        <f>D26*Assumptions!$B$16</f>
        <v>3.8218439819004497</v>
      </c>
      <c r="H26" s="33">
        <f>IF(OR(A26&lt;=Assumptions!$B$12,A26&gt;Assumptions!$B$14),0,MIN($K$19/(Assumptions!$B$14-$A$19),D26))</f>
        <v>5.3555354449472059</v>
      </c>
      <c r="I26" s="34">
        <f>IF(A26&gt;Assumptions!$B$14,0,MIN(SUMPRODUCT((Assumptions!$B$53:$B$57=A26)*Assumptions!$C$53:$C$57)*Assumptions!$B$50,D26-H26))</f>
        <v>0</v>
      </c>
      <c r="J26" s="11">
        <f t="shared" si="2"/>
        <v>5.3555354449472059</v>
      </c>
      <c r="K26" s="11">
        <f t="shared" si="3"/>
        <v>171.37713423831059</v>
      </c>
      <c r="L26" s="12">
        <f>IF(OR(A26&gt;Assumptions!$B$14,(G26+H26)=0),"",F26/(G26+H26))</f>
        <v>1.6344535081680021</v>
      </c>
      <c r="M26" s="10" t="str">
        <f>IF(A26&gt;Assumptions!$B$14,"Closed",IF(A26&lt;=Assumptions!$B$12,"Moratorium",IF(D26=0,"Closed (Repaid Early)",IF(OR(L26="",L26&gt;=Assumptions!$B$11-0.005),"PASS/OK","BREACH"))))</f>
        <v>PASS/OK</v>
      </c>
    </row>
    <row r="27" spans="1:13" ht="15" customHeight="1" x14ac:dyDescent="0.25">
      <c r="A27" s="13">
        <v>20</v>
      </c>
      <c r="B27" s="13">
        <f t="shared" si="0"/>
        <v>5</v>
      </c>
      <c r="C27" s="13" t="str">
        <f>IF(A27&gt;Assumptions!$B$14,"Closed",IF(A27&lt;=Assumptions!$B$12,"Moratorium","Repayment"))</f>
        <v>Repayment</v>
      </c>
      <c r="D27" s="14">
        <f t="shared" si="4"/>
        <v>171.37713423831059</v>
      </c>
      <c r="E27" s="14">
        <f>IF(B27&gt;25,0,INDEX(Assumptions!$B$22:$B$46,B27))</f>
        <v>60</v>
      </c>
      <c r="F27" s="14">
        <f t="shared" si="1"/>
        <v>15</v>
      </c>
      <c r="G27" s="35">
        <f>D27*Assumptions!$B$16</f>
        <v>3.706030527903466</v>
      </c>
      <c r="H27" s="33">
        <f>IF(OR(A27&lt;=Assumptions!$B$12,A27&gt;Assumptions!$B$14),0,MIN($K$19/(Assumptions!$B$14-$A$19),D27))</f>
        <v>5.3555354449472059</v>
      </c>
      <c r="I27" s="36">
        <f>IF(A27&gt;Assumptions!$B$14,0,MIN(SUMPRODUCT((Assumptions!$B$53:$B$57=A27)*Assumptions!$C$53:$C$57)*Assumptions!$B$50,D27-H27))</f>
        <v>0</v>
      </c>
      <c r="J27" s="14">
        <f t="shared" si="2"/>
        <v>5.3555354449472059</v>
      </c>
      <c r="K27" s="14">
        <f t="shared" si="3"/>
        <v>166.02159879336338</v>
      </c>
      <c r="L27" s="15">
        <f>IF(OR(A27&gt;Assumptions!$B$14,(G27+H27)=0),"",F27/(G27+H27))</f>
        <v>1.6553430218288372</v>
      </c>
      <c r="M27" s="13" t="str">
        <f>IF(A27&gt;Assumptions!$B$14,"Closed",IF(A27&lt;=Assumptions!$B$12,"Moratorium",IF(D27=0,"Closed (Repaid Early)",IF(OR(L27="",L27&gt;=Assumptions!$B$11-0.005),"PASS/OK","BREACH"))))</f>
        <v>PASS/OK</v>
      </c>
    </row>
    <row r="28" spans="1:13" ht="15" customHeight="1" x14ac:dyDescent="0.25">
      <c r="A28" s="10">
        <v>21</v>
      </c>
      <c r="B28" s="10">
        <f t="shared" si="0"/>
        <v>6</v>
      </c>
      <c r="C28" s="10" t="str">
        <f>IF(A28&gt;Assumptions!$B$14,"Closed",IF(A28&lt;=Assumptions!$B$12,"Moratorium","Repayment"))</f>
        <v>Repayment</v>
      </c>
      <c r="D28" s="11">
        <f t="shared" si="4"/>
        <v>166.02159879336338</v>
      </c>
      <c r="E28" s="11">
        <f>IF(B28&gt;25,0,INDEX(Assumptions!$B$22:$B$46,B28))</f>
        <v>60</v>
      </c>
      <c r="F28" s="11">
        <f t="shared" si="1"/>
        <v>15</v>
      </c>
      <c r="G28" s="32">
        <f>D28*Assumptions!$B$16</f>
        <v>3.5902170739064827</v>
      </c>
      <c r="H28" s="33">
        <f>IF(OR(A28&lt;=Assumptions!$B$12,A28&gt;Assumptions!$B$14),0,MIN($K$19/(Assumptions!$B$14-$A$19),D28))</f>
        <v>5.3555354449472059</v>
      </c>
      <c r="I28" s="34">
        <f>IF(A28&gt;Assumptions!$B$14,0,MIN(SUMPRODUCT((Assumptions!$B$53:$B$57=A28)*Assumptions!$C$53:$C$57)*Assumptions!$B$50,D28-H28))</f>
        <v>0</v>
      </c>
      <c r="J28" s="11">
        <f t="shared" si="2"/>
        <v>5.3555354449472059</v>
      </c>
      <c r="K28" s="11">
        <f t="shared" si="3"/>
        <v>160.66606334841617</v>
      </c>
      <c r="L28" s="12">
        <f>IF(OR(A28&gt;Assumptions!$B$14,(G28+H28)=0),"",F28/(G28+H28))</f>
        <v>1.6767734149124556</v>
      </c>
      <c r="M28" s="10" t="str">
        <f>IF(A28&gt;Assumptions!$B$14,"Closed",IF(A28&lt;=Assumptions!$B$12,"Moratorium",IF(D28=0,"Closed (Repaid Early)",IF(OR(L28="",L28&gt;=Assumptions!$B$11-0.005),"PASS/OK","BREACH"))))</f>
        <v>PASS/OK</v>
      </c>
    </row>
    <row r="29" spans="1:13" ht="15" customHeight="1" x14ac:dyDescent="0.25">
      <c r="A29" s="13">
        <v>22</v>
      </c>
      <c r="B29" s="13">
        <f t="shared" si="0"/>
        <v>6</v>
      </c>
      <c r="C29" s="13" t="str">
        <f>IF(A29&gt;Assumptions!$B$14,"Closed",IF(A29&lt;=Assumptions!$B$12,"Moratorium","Repayment"))</f>
        <v>Repayment</v>
      </c>
      <c r="D29" s="14">
        <f t="shared" si="4"/>
        <v>160.66606334841617</v>
      </c>
      <c r="E29" s="14">
        <f>IF(B29&gt;25,0,INDEX(Assumptions!$B$22:$B$46,B29))</f>
        <v>60</v>
      </c>
      <c r="F29" s="14">
        <f t="shared" si="1"/>
        <v>15</v>
      </c>
      <c r="G29" s="35">
        <f>D29*Assumptions!$B$16</f>
        <v>3.4744036199094994</v>
      </c>
      <c r="H29" s="33">
        <f>IF(OR(A29&lt;=Assumptions!$B$12,A29&gt;Assumptions!$B$14),0,MIN($K$19/(Assumptions!$B$14-$A$19),D29))</f>
        <v>5.3555354449472059</v>
      </c>
      <c r="I29" s="36">
        <f>IF(A29&gt;Assumptions!$B$14,0,MIN(SUMPRODUCT((Assumptions!$B$53:$B$57=A29)*Assumptions!$C$53:$C$57)*Assumptions!$B$50,D29-H29))</f>
        <v>0</v>
      </c>
      <c r="J29" s="14">
        <f t="shared" si="2"/>
        <v>5.3555354449472059</v>
      </c>
      <c r="K29" s="14">
        <f t="shared" si="3"/>
        <v>155.31052790346897</v>
      </c>
      <c r="L29" s="15">
        <f>IF(OR(A29&gt;Assumptions!$B$14,(G29+H29)=0),"",F29/(G29+H29))</f>
        <v>1.6987659699374633</v>
      </c>
      <c r="M29" s="13" t="str">
        <f>IF(A29&gt;Assumptions!$B$14,"Closed",IF(A29&lt;=Assumptions!$B$12,"Moratorium",IF(D29=0,"Closed (Repaid Early)",IF(OR(L29="",L29&gt;=Assumptions!$B$11-0.005),"PASS/OK","BREACH"))))</f>
        <v>PASS/OK</v>
      </c>
    </row>
    <row r="30" spans="1:13" ht="15" customHeight="1" x14ac:dyDescent="0.25">
      <c r="A30" s="10">
        <v>23</v>
      </c>
      <c r="B30" s="10">
        <f t="shared" si="0"/>
        <v>6</v>
      </c>
      <c r="C30" s="10" t="str">
        <f>IF(A30&gt;Assumptions!$B$14,"Closed",IF(A30&lt;=Assumptions!$B$12,"Moratorium","Repayment"))</f>
        <v>Repayment</v>
      </c>
      <c r="D30" s="11">
        <f t="shared" si="4"/>
        <v>155.31052790346897</v>
      </c>
      <c r="E30" s="11">
        <f>IF(B30&gt;25,0,INDEX(Assumptions!$B$22:$B$46,B30))</f>
        <v>60</v>
      </c>
      <c r="F30" s="11">
        <f t="shared" si="1"/>
        <v>15</v>
      </c>
      <c r="G30" s="32">
        <f>D30*Assumptions!$B$16</f>
        <v>3.3585901659125161</v>
      </c>
      <c r="H30" s="33">
        <f>IF(OR(A30&lt;=Assumptions!$B$12,A30&gt;Assumptions!$B$14),0,MIN($K$19/(Assumptions!$B$14-$A$19),D30))</f>
        <v>5.3555354449472059</v>
      </c>
      <c r="I30" s="34">
        <f>IF(A30&gt;Assumptions!$B$14,0,MIN(SUMPRODUCT((Assumptions!$B$53:$B$57=A30)*Assumptions!$C$53:$C$57)*Assumptions!$B$50,D30-H30))</f>
        <v>0</v>
      </c>
      <c r="J30" s="11">
        <f t="shared" si="2"/>
        <v>5.3555354449472059</v>
      </c>
      <c r="K30" s="11">
        <f t="shared" si="3"/>
        <v>149.95499245852176</v>
      </c>
      <c r="L30" s="12">
        <f>IF(OR(A30&gt;Assumptions!$B$14,(G30+H30)=0),"",F30/(G30+H30))</f>
        <v>1.7213431008277749</v>
      </c>
      <c r="M30" s="10" t="str">
        <f>IF(A30&gt;Assumptions!$B$14,"Closed",IF(A30&lt;=Assumptions!$B$12,"Moratorium",IF(D30=0,"Closed (Repaid Early)",IF(OR(L30="",L30&gt;=Assumptions!$B$11-0.005),"PASS/OK","BREACH"))))</f>
        <v>PASS/OK</v>
      </c>
    </row>
    <row r="31" spans="1:13" ht="15" customHeight="1" x14ac:dyDescent="0.25">
      <c r="A31" s="13">
        <v>24</v>
      </c>
      <c r="B31" s="13">
        <f t="shared" si="0"/>
        <v>6</v>
      </c>
      <c r="C31" s="13" t="str">
        <f>IF(A31&gt;Assumptions!$B$14,"Closed",IF(A31&lt;=Assumptions!$B$12,"Moratorium","Repayment"))</f>
        <v>Repayment</v>
      </c>
      <c r="D31" s="14">
        <f t="shared" si="4"/>
        <v>149.95499245852176</v>
      </c>
      <c r="E31" s="14">
        <f>IF(B31&gt;25,0,INDEX(Assumptions!$B$22:$B$46,B31))</f>
        <v>60</v>
      </c>
      <c r="F31" s="14">
        <f t="shared" si="1"/>
        <v>15</v>
      </c>
      <c r="G31" s="35">
        <f>D31*Assumptions!$B$16</f>
        <v>3.2427767119155329</v>
      </c>
      <c r="H31" s="33">
        <f>IF(OR(A31&lt;=Assumptions!$B$12,A31&gt;Assumptions!$B$14),0,MIN($K$19/(Assumptions!$B$14-$A$19),D31))</f>
        <v>5.3555354449472059</v>
      </c>
      <c r="I31" s="36">
        <f>IF(A31&gt;Assumptions!$B$14,0,MIN(SUMPRODUCT((Assumptions!$B$53:$B$57=A31)*Assumptions!$C$53:$C$57)*Assumptions!$B$50,D31-H31))</f>
        <v>0</v>
      </c>
      <c r="J31" s="14">
        <f t="shared" si="2"/>
        <v>5.3555354449472059</v>
      </c>
      <c r="K31" s="14">
        <f t="shared" si="3"/>
        <v>144.59945701357455</v>
      </c>
      <c r="L31" s="15">
        <f>IF(OR(A31&gt;Assumptions!$B$14,(G31+H31)=0),"",F31/(G31+H31))</f>
        <v>1.7445284291089334</v>
      </c>
      <c r="M31" s="13" t="str">
        <f>IF(A31&gt;Assumptions!$B$14,"Closed",IF(A31&lt;=Assumptions!$B$12,"Moratorium",IF(D31=0,"Closed (Repaid Early)",IF(OR(L31="",L31&gt;=Assumptions!$B$11-0.005),"PASS/OK","BREACH"))))</f>
        <v>PASS/OK</v>
      </c>
    </row>
    <row r="32" spans="1:13" ht="15" customHeight="1" x14ac:dyDescent="0.25">
      <c r="A32" s="10">
        <v>25</v>
      </c>
      <c r="B32" s="10">
        <f t="shared" si="0"/>
        <v>7</v>
      </c>
      <c r="C32" s="10" t="str">
        <f>IF(A32&gt;Assumptions!$B$14,"Closed",IF(A32&lt;=Assumptions!$B$12,"Moratorium","Repayment"))</f>
        <v>Repayment</v>
      </c>
      <c r="D32" s="11">
        <f t="shared" si="4"/>
        <v>144.59945701357455</v>
      </c>
      <c r="E32" s="11">
        <f>IF(B32&gt;25,0,INDEX(Assumptions!$B$22:$B$46,B32))</f>
        <v>60</v>
      </c>
      <c r="F32" s="11">
        <f t="shared" si="1"/>
        <v>15</v>
      </c>
      <c r="G32" s="32">
        <f>D32*Assumptions!$B$16</f>
        <v>3.1269632579185496</v>
      </c>
      <c r="H32" s="33">
        <f>IF(OR(A32&lt;=Assumptions!$B$12,A32&gt;Assumptions!$B$14),0,MIN($K$19/(Assumptions!$B$14-$A$19),D32))</f>
        <v>5.3555354449472059</v>
      </c>
      <c r="I32" s="34">
        <f>IF(A32&gt;Assumptions!$B$14,0,MIN(SUMPRODUCT((Assumptions!$B$53:$B$57=A32)*Assumptions!$C$53:$C$57)*Assumptions!$B$50,D32-H32))</f>
        <v>0</v>
      </c>
      <c r="J32" s="11">
        <f t="shared" si="2"/>
        <v>5.3555354449472059</v>
      </c>
      <c r="K32" s="11">
        <f t="shared" si="3"/>
        <v>139.24392156862734</v>
      </c>
      <c r="L32" s="12">
        <f>IF(OR(A32&gt;Assumptions!$B$14,(G32+H32)=0),"",F32/(G32+H32))</f>
        <v>1.768346866346393</v>
      </c>
      <c r="M32" s="10" t="str">
        <f>IF(A32&gt;Assumptions!$B$14,"Closed",IF(A32&lt;=Assumptions!$B$12,"Moratorium",IF(D32=0,"Closed (Repaid Early)",IF(OR(L32="",L32&gt;=Assumptions!$B$11-0.005),"PASS/OK","BREACH"))))</f>
        <v>PASS/OK</v>
      </c>
    </row>
    <row r="33" spans="1:13" ht="15" customHeight="1" x14ac:dyDescent="0.25">
      <c r="A33" s="13">
        <v>26</v>
      </c>
      <c r="B33" s="13">
        <f t="shared" si="0"/>
        <v>7</v>
      </c>
      <c r="C33" s="13" t="str">
        <f>IF(A33&gt;Assumptions!$B$14,"Closed",IF(A33&lt;=Assumptions!$B$12,"Moratorium","Repayment"))</f>
        <v>Repayment</v>
      </c>
      <c r="D33" s="14">
        <f t="shared" si="4"/>
        <v>139.24392156862734</v>
      </c>
      <c r="E33" s="14">
        <f>IF(B33&gt;25,0,INDEX(Assumptions!$B$22:$B$46,B33))</f>
        <v>60</v>
      </c>
      <c r="F33" s="14">
        <f t="shared" si="1"/>
        <v>15</v>
      </c>
      <c r="G33" s="35">
        <f>D33*Assumptions!$B$16</f>
        <v>3.0111498039215663</v>
      </c>
      <c r="H33" s="33">
        <f>IF(OR(A33&lt;=Assumptions!$B$12,A33&gt;Assumptions!$B$14),0,MIN($K$19/(Assumptions!$B$14-$A$19),D33))</f>
        <v>5.3555354449472059</v>
      </c>
      <c r="I33" s="36">
        <f>IF(A33&gt;Assumptions!$B$14,0,MIN(SUMPRODUCT((Assumptions!$B$53:$B$57=A33)*Assumptions!$C$53:$C$57)*Assumptions!$B$50,D33-H33))</f>
        <v>0</v>
      </c>
      <c r="J33" s="14">
        <f t="shared" si="2"/>
        <v>5.3555354449472059</v>
      </c>
      <c r="K33" s="14">
        <f t="shared" si="3"/>
        <v>133.88838612368014</v>
      </c>
      <c r="L33" s="15">
        <f>IF(OR(A33&gt;Assumptions!$B$14,(G33+H33)=0),"",F33/(G33+H33))</f>
        <v>1.79282470343056</v>
      </c>
      <c r="M33" s="13" t="str">
        <f>IF(A33&gt;Assumptions!$B$14,"Closed",IF(A33&lt;=Assumptions!$B$12,"Moratorium",IF(D33=0,"Closed (Repaid Early)",IF(OR(L33="",L33&gt;=Assumptions!$B$11-0.005),"PASS/OK","BREACH"))))</f>
        <v>PASS/OK</v>
      </c>
    </row>
    <row r="34" spans="1:13" ht="15" customHeight="1" x14ac:dyDescent="0.25">
      <c r="A34" s="10">
        <v>27</v>
      </c>
      <c r="B34" s="10">
        <f t="shared" si="0"/>
        <v>7</v>
      </c>
      <c r="C34" s="10" t="str">
        <f>IF(A34&gt;Assumptions!$B$14,"Closed",IF(A34&lt;=Assumptions!$B$12,"Moratorium","Repayment"))</f>
        <v>Repayment</v>
      </c>
      <c r="D34" s="11">
        <f t="shared" si="4"/>
        <v>133.88838612368014</v>
      </c>
      <c r="E34" s="11">
        <f>IF(B34&gt;25,0,INDEX(Assumptions!$B$22:$B$46,B34))</f>
        <v>60</v>
      </c>
      <c r="F34" s="11">
        <f t="shared" si="1"/>
        <v>15</v>
      </c>
      <c r="G34" s="32">
        <f>D34*Assumptions!$B$16</f>
        <v>2.8953363499245826</v>
      </c>
      <c r="H34" s="33">
        <f>IF(OR(A34&lt;=Assumptions!$B$12,A34&gt;Assumptions!$B$14),0,MIN($K$19/(Assumptions!$B$14-$A$19),D34))</f>
        <v>5.3555354449472059</v>
      </c>
      <c r="I34" s="34">
        <f>IF(A34&gt;Assumptions!$B$14,0,MIN(SUMPRODUCT((Assumptions!$B$53:$B$57=A34)*Assumptions!$C$53:$C$57)*Assumptions!$B$50,D34-H34))</f>
        <v>0</v>
      </c>
      <c r="J34" s="11">
        <f t="shared" si="2"/>
        <v>5.3555354449472059</v>
      </c>
      <c r="K34" s="11">
        <f t="shared" si="3"/>
        <v>128.53285067873293</v>
      </c>
      <c r="L34" s="12">
        <f>IF(OR(A34&gt;Assumptions!$B$14,(G34+H34)=0),"",F34/(G34+H34))</f>
        <v>1.8179897073813505</v>
      </c>
      <c r="M34" s="10" t="str">
        <f>IF(A34&gt;Assumptions!$B$14,"Closed",IF(A34&lt;=Assumptions!$B$12,"Moratorium",IF(D34=0,"Closed (Repaid Early)",IF(OR(L34="",L34&gt;=Assumptions!$B$11-0.005),"PASS/OK","BREACH"))))</f>
        <v>PASS/OK</v>
      </c>
    </row>
    <row r="35" spans="1:13" ht="15" customHeight="1" x14ac:dyDescent="0.25">
      <c r="A35" s="13">
        <v>28</v>
      </c>
      <c r="B35" s="13">
        <f t="shared" si="0"/>
        <v>7</v>
      </c>
      <c r="C35" s="13" t="str">
        <f>IF(A35&gt;Assumptions!$B$14,"Closed",IF(A35&lt;=Assumptions!$B$12,"Moratorium","Repayment"))</f>
        <v>Repayment</v>
      </c>
      <c r="D35" s="14">
        <f t="shared" si="4"/>
        <v>128.53285067873293</v>
      </c>
      <c r="E35" s="14">
        <f>IF(B35&gt;25,0,INDEX(Assumptions!$B$22:$B$46,B35))</f>
        <v>60</v>
      </c>
      <c r="F35" s="14">
        <f t="shared" si="1"/>
        <v>15</v>
      </c>
      <c r="G35" s="35">
        <f>D35*Assumptions!$B$16</f>
        <v>2.7795228959275993</v>
      </c>
      <c r="H35" s="33">
        <f>IF(OR(A35&lt;=Assumptions!$B$12,A35&gt;Assumptions!$B$14),0,MIN($K$19/(Assumptions!$B$14-$A$19),D35))</f>
        <v>5.3555354449472059</v>
      </c>
      <c r="I35" s="36">
        <f>IF(A35&gt;Assumptions!$B$14,0,MIN(SUMPRODUCT((Assumptions!$B$53:$B$57=A35)*Assumptions!$C$53:$C$57)*Assumptions!$B$50,D35-H35))</f>
        <v>0</v>
      </c>
      <c r="J35" s="14">
        <f t="shared" si="2"/>
        <v>5.3555354449472059</v>
      </c>
      <c r="K35" s="14">
        <f t="shared" si="3"/>
        <v>123.17731523378572</v>
      </c>
      <c r="L35" s="15">
        <f>IF(OR(A35&gt;Assumptions!$B$14,(G35+H35)=0),"",F35/(G35+H35))</f>
        <v>1.8438712264215886</v>
      </c>
      <c r="M35" s="13" t="str">
        <f>IF(A35&gt;Assumptions!$B$14,"Closed",IF(A35&lt;=Assumptions!$B$12,"Moratorium",IF(D35=0,"Closed (Repaid Early)",IF(OR(L35="",L35&gt;=Assumptions!$B$11-0.005),"PASS/OK","BREACH"))))</f>
        <v>PASS/OK</v>
      </c>
    </row>
    <row r="36" spans="1:13" ht="15" customHeight="1" x14ac:dyDescent="0.25">
      <c r="A36" s="10">
        <v>29</v>
      </c>
      <c r="B36" s="10">
        <f t="shared" si="0"/>
        <v>8</v>
      </c>
      <c r="C36" s="10" t="str">
        <f>IF(A36&gt;Assumptions!$B$14,"Closed",IF(A36&lt;=Assumptions!$B$12,"Moratorium","Repayment"))</f>
        <v>Repayment</v>
      </c>
      <c r="D36" s="11">
        <f t="shared" si="4"/>
        <v>123.17731523378572</v>
      </c>
      <c r="E36" s="11">
        <f>IF(B36&gt;25,0,INDEX(Assumptions!$B$22:$B$46,B36))</f>
        <v>60</v>
      </c>
      <c r="F36" s="11">
        <f t="shared" si="1"/>
        <v>15</v>
      </c>
      <c r="G36" s="32">
        <f>D36*Assumptions!$B$16</f>
        <v>2.663709441930616</v>
      </c>
      <c r="H36" s="33">
        <f>IF(OR(A36&lt;=Assumptions!$B$12,A36&gt;Assumptions!$B$14),0,MIN($K$19/(Assumptions!$B$14-$A$19),D36))</f>
        <v>5.3555354449472059</v>
      </c>
      <c r="I36" s="34">
        <f>IF(A36&gt;Assumptions!$B$14,0,MIN(SUMPRODUCT((Assumptions!$B$53:$B$57=A36)*Assumptions!$C$53:$C$57)*Assumptions!$B$50,D36-H36))</f>
        <v>0</v>
      </c>
      <c r="J36" s="11">
        <f t="shared" si="2"/>
        <v>5.3555354449472059</v>
      </c>
      <c r="K36" s="11">
        <f t="shared" si="3"/>
        <v>117.82177978883851</v>
      </c>
      <c r="L36" s="12">
        <f>IF(OR(A36&gt;Assumptions!$B$14,(G36+H36)=0),"",F36/(G36+H36))</f>
        <v>1.8705003041552004</v>
      </c>
      <c r="M36" s="10" t="str">
        <f>IF(A36&gt;Assumptions!$B$14,"Closed",IF(A36&lt;=Assumptions!$B$12,"Moratorium",IF(D36=0,"Closed (Repaid Early)",IF(OR(L36="",L36&gt;=Assumptions!$B$11-0.005),"PASS/OK","BREACH"))))</f>
        <v>PASS/OK</v>
      </c>
    </row>
    <row r="37" spans="1:13" ht="15" customHeight="1" x14ac:dyDescent="0.25">
      <c r="A37" s="13">
        <v>30</v>
      </c>
      <c r="B37" s="13">
        <f t="shared" si="0"/>
        <v>8</v>
      </c>
      <c r="C37" s="13" t="str">
        <f>IF(A37&gt;Assumptions!$B$14,"Closed",IF(A37&lt;=Assumptions!$B$12,"Moratorium","Repayment"))</f>
        <v>Repayment</v>
      </c>
      <c r="D37" s="14">
        <f t="shared" si="4"/>
        <v>117.82177978883851</v>
      </c>
      <c r="E37" s="14">
        <f>IF(B37&gt;25,0,INDEX(Assumptions!$B$22:$B$46,B37))</f>
        <v>60</v>
      </c>
      <c r="F37" s="14">
        <f t="shared" si="1"/>
        <v>15</v>
      </c>
      <c r="G37" s="35">
        <f>D37*Assumptions!$B$16</f>
        <v>2.5478959879336327</v>
      </c>
      <c r="H37" s="33">
        <f>IF(OR(A37&lt;=Assumptions!$B$12,A37&gt;Assumptions!$B$14),0,MIN($K$19/(Assumptions!$B$14-$A$19),D37))</f>
        <v>5.3555354449472059</v>
      </c>
      <c r="I37" s="36">
        <f>IF(A37&gt;Assumptions!$B$14,0,MIN(SUMPRODUCT((Assumptions!$B$53:$B$57=A37)*Assumptions!$C$53:$C$57)*Assumptions!$B$50,D37-H37))</f>
        <v>0</v>
      </c>
      <c r="J37" s="14">
        <f t="shared" si="2"/>
        <v>5.3555354449472059</v>
      </c>
      <c r="K37" s="14">
        <f t="shared" si="3"/>
        <v>112.4662443438913</v>
      </c>
      <c r="L37" s="15">
        <f>IF(OR(A37&gt;Assumptions!$B$14,(G37+H37)=0),"",F37/(G37+H37))</f>
        <v>1.8979098037841051</v>
      </c>
      <c r="M37" s="13" t="str">
        <f>IF(A37&gt;Assumptions!$B$14,"Closed",IF(A37&lt;=Assumptions!$B$12,"Moratorium",IF(D37=0,"Closed (Repaid Early)",IF(OR(L37="",L37&gt;=Assumptions!$B$11-0.005),"PASS/OK","BREACH"))))</f>
        <v>PASS/OK</v>
      </c>
    </row>
    <row r="38" spans="1:13" ht="15" customHeight="1" x14ac:dyDescent="0.25">
      <c r="A38" s="10">
        <v>31</v>
      </c>
      <c r="B38" s="10">
        <f t="shared" si="0"/>
        <v>8</v>
      </c>
      <c r="C38" s="10" t="str">
        <f>IF(A38&gt;Assumptions!$B$14,"Closed",IF(A38&lt;=Assumptions!$B$12,"Moratorium","Repayment"))</f>
        <v>Repayment</v>
      </c>
      <c r="D38" s="11">
        <f t="shared" si="4"/>
        <v>112.4662443438913</v>
      </c>
      <c r="E38" s="11">
        <f>IF(B38&gt;25,0,INDEX(Assumptions!$B$22:$B$46,B38))</f>
        <v>60</v>
      </c>
      <c r="F38" s="11">
        <f t="shared" si="1"/>
        <v>15</v>
      </c>
      <c r="G38" s="32">
        <f>D38*Assumptions!$B$16</f>
        <v>2.4320825339366494</v>
      </c>
      <c r="H38" s="33">
        <f>IF(OR(A38&lt;=Assumptions!$B$12,A38&gt;Assumptions!$B$14),0,MIN($K$19/(Assumptions!$B$14-$A$19),D38))</f>
        <v>5.3555354449472059</v>
      </c>
      <c r="I38" s="34">
        <f>IF(A38&gt;Assumptions!$B$14,0,MIN(SUMPRODUCT((Assumptions!$B$53:$B$57=A38)*Assumptions!$C$53:$C$57)*Assumptions!$B$50,D38-H38))</f>
        <v>0</v>
      </c>
      <c r="J38" s="11">
        <f t="shared" si="2"/>
        <v>5.3555354449472059</v>
      </c>
      <c r="K38" s="11">
        <f t="shared" si="3"/>
        <v>107.1107088989441</v>
      </c>
      <c r="L38" s="12">
        <f>IF(OR(A38&gt;Assumptions!$B$14,(G38+H38)=0),"",F38/(G38+H38))</f>
        <v>1.9261345434088493</v>
      </c>
      <c r="M38" s="10" t="str">
        <f>IF(A38&gt;Assumptions!$B$14,"Closed",IF(A38&lt;=Assumptions!$B$12,"Moratorium",IF(D38=0,"Closed (Repaid Early)",IF(OR(L38="",L38&gt;=Assumptions!$B$11-0.005),"PASS/OK","BREACH"))))</f>
        <v>PASS/OK</v>
      </c>
    </row>
    <row r="39" spans="1:13" ht="15" customHeight="1" x14ac:dyDescent="0.25">
      <c r="A39" s="13">
        <v>32</v>
      </c>
      <c r="B39" s="13">
        <f t="shared" si="0"/>
        <v>8</v>
      </c>
      <c r="C39" s="13" t="str">
        <f>IF(A39&gt;Assumptions!$B$14,"Closed",IF(A39&lt;=Assumptions!$B$12,"Moratorium","Repayment"))</f>
        <v>Repayment</v>
      </c>
      <c r="D39" s="14">
        <f t="shared" si="4"/>
        <v>107.1107088989441</v>
      </c>
      <c r="E39" s="14">
        <f>IF(B39&gt;25,0,INDEX(Assumptions!$B$22:$B$46,B39))</f>
        <v>60</v>
      </c>
      <c r="F39" s="14">
        <f t="shared" si="1"/>
        <v>15</v>
      </c>
      <c r="G39" s="35">
        <f>D39*Assumptions!$B$16</f>
        <v>2.3162690799396661</v>
      </c>
      <c r="H39" s="33">
        <f>IF(OR(A39&lt;=Assumptions!$B$12,A39&gt;Assumptions!$B$14),0,MIN($K$19/(Assumptions!$B$14-$A$19),D39))</f>
        <v>5.3555354449472059</v>
      </c>
      <c r="I39" s="36">
        <f>IF(A39&gt;Assumptions!$B$14,0,MIN(SUMPRODUCT((Assumptions!$B$53:$B$57=A39)*Assumptions!$C$53:$C$57)*Assumptions!$B$50,D39-H39))</f>
        <v>0</v>
      </c>
      <c r="J39" s="14">
        <f t="shared" si="2"/>
        <v>5.3555354449472059</v>
      </c>
      <c r="K39" s="14">
        <f t="shared" si="3"/>
        <v>101.75517345399689</v>
      </c>
      <c r="L39" s="15">
        <f>IF(OR(A39&gt;Assumptions!$B$14,(G39+H39)=0),"",F39/(G39+H39))</f>
        <v>1.9552114435842185</v>
      </c>
      <c r="M39" s="13" t="str">
        <f>IF(A39&gt;Assumptions!$B$14,"Closed",IF(A39&lt;=Assumptions!$B$12,"Moratorium",IF(D39=0,"Closed (Repaid Early)",IF(OR(L39="",L39&gt;=Assumptions!$B$11-0.005),"PASS/OK","BREACH"))))</f>
        <v>PASS/OK</v>
      </c>
    </row>
    <row r="40" spans="1:13" ht="15" customHeight="1" x14ac:dyDescent="0.25">
      <c r="A40" s="10">
        <v>33</v>
      </c>
      <c r="B40" s="10">
        <f t="shared" ref="B40:B71" si="5">ROUNDUP(A40/4,0)</f>
        <v>9</v>
      </c>
      <c r="C40" s="10" t="str">
        <f>IF(A40&gt;Assumptions!$B$14,"Closed",IF(A40&lt;=Assumptions!$B$12,"Moratorium","Repayment"))</f>
        <v>Repayment</v>
      </c>
      <c r="D40" s="11">
        <f t="shared" si="4"/>
        <v>101.75517345399689</v>
      </c>
      <c r="E40" s="11">
        <f>IF(B40&gt;25,0,INDEX(Assumptions!$B$22:$B$46,B40))</f>
        <v>60</v>
      </c>
      <c r="F40" s="11">
        <f t="shared" ref="F40:F71" si="6">E40/4</f>
        <v>15</v>
      </c>
      <c r="G40" s="32">
        <f>D40*Assumptions!$B$16</f>
        <v>2.2004556259426824</v>
      </c>
      <c r="H40" s="33">
        <f>IF(OR(A40&lt;=Assumptions!$B$12,A40&gt;Assumptions!$B$14),0,MIN($K$19/(Assumptions!$B$14-$A$19),D40))</f>
        <v>5.3555354449472059</v>
      </c>
      <c r="I40" s="34">
        <f>IF(A40&gt;Assumptions!$B$14,0,MIN(SUMPRODUCT((Assumptions!$B$53:$B$57=A40)*Assumptions!$C$53:$C$57)*Assumptions!$B$50,D40-H40))</f>
        <v>0</v>
      </c>
      <c r="J40" s="11">
        <f t="shared" ref="J40:J71" si="7">H40+I40</f>
        <v>5.3555354449472059</v>
      </c>
      <c r="K40" s="11">
        <f t="shared" ref="K40:K71" si="8">D40-J40</f>
        <v>96.399638009049681</v>
      </c>
      <c r="L40" s="12">
        <f>IF(OR(A40&gt;Assumptions!$B$14,(G40+H40)=0),"",F40/(G40+H40))</f>
        <v>1.9851796884446837</v>
      </c>
      <c r="M40" s="10" t="str">
        <f>IF(A40&gt;Assumptions!$B$14,"Closed",IF(A40&lt;=Assumptions!$B$12,"Moratorium",IF(D40=0,"Closed (Repaid Early)",IF(OR(L40="",L40&gt;=Assumptions!$B$11-0.005),"PASS/OK","BREACH"))))</f>
        <v>PASS/OK</v>
      </c>
    </row>
    <row r="41" spans="1:13" ht="15" customHeight="1" x14ac:dyDescent="0.25">
      <c r="A41" s="13">
        <v>34</v>
      </c>
      <c r="B41" s="13">
        <f t="shared" si="5"/>
        <v>9</v>
      </c>
      <c r="C41" s="13" t="str">
        <f>IF(A41&gt;Assumptions!$B$14,"Closed",IF(A41&lt;=Assumptions!$B$12,"Moratorium","Repayment"))</f>
        <v>Repayment</v>
      </c>
      <c r="D41" s="14">
        <f t="shared" ref="D41:D72" si="9">K40</f>
        <v>96.399638009049681</v>
      </c>
      <c r="E41" s="14">
        <f>IF(B41&gt;25,0,INDEX(Assumptions!$B$22:$B$46,B41))</f>
        <v>60</v>
      </c>
      <c r="F41" s="14">
        <f t="shared" si="6"/>
        <v>15</v>
      </c>
      <c r="G41" s="35">
        <f>D41*Assumptions!$B$16</f>
        <v>2.0846421719456991</v>
      </c>
      <c r="H41" s="33">
        <f>IF(OR(A41&lt;=Assumptions!$B$12,A41&gt;Assumptions!$B$14),0,MIN($K$19/(Assumptions!$B$14-$A$19),D41))</f>
        <v>5.3555354449472059</v>
      </c>
      <c r="I41" s="36">
        <f>IF(A41&gt;Assumptions!$B$14,0,MIN(SUMPRODUCT((Assumptions!$B$53:$B$57=A41)*Assumptions!$C$53:$C$57)*Assumptions!$B$50,D41-H41))</f>
        <v>0</v>
      </c>
      <c r="J41" s="14">
        <f t="shared" si="7"/>
        <v>5.3555354449472059</v>
      </c>
      <c r="K41" s="14">
        <f t="shared" si="8"/>
        <v>91.044102564102474</v>
      </c>
      <c r="L41" s="15">
        <f>IF(OR(A41&gt;Assumptions!$B$14,(G41+H41)=0),"",F41/(G41+H41))</f>
        <v>2.0160809018782748</v>
      </c>
      <c r="M41" s="13" t="str">
        <f>IF(A41&gt;Assumptions!$B$14,"Closed",IF(A41&lt;=Assumptions!$B$12,"Moratorium",IF(D41=0,"Closed (Repaid Early)",IF(OR(L41="",L41&gt;=Assumptions!$B$11-0.005),"PASS/OK","BREACH"))))</f>
        <v>PASS/OK</v>
      </c>
    </row>
    <row r="42" spans="1:13" ht="15" customHeight="1" x14ac:dyDescent="0.25">
      <c r="A42" s="10">
        <v>35</v>
      </c>
      <c r="B42" s="10">
        <f t="shared" si="5"/>
        <v>9</v>
      </c>
      <c r="C42" s="10" t="str">
        <f>IF(A42&gt;Assumptions!$B$14,"Closed",IF(A42&lt;=Assumptions!$B$12,"Moratorium","Repayment"))</f>
        <v>Repayment</v>
      </c>
      <c r="D42" s="11">
        <f t="shared" si="9"/>
        <v>91.044102564102474</v>
      </c>
      <c r="E42" s="11">
        <f>IF(B42&gt;25,0,INDEX(Assumptions!$B$22:$B$46,B42))</f>
        <v>60</v>
      </c>
      <c r="F42" s="11">
        <f t="shared" si="6"/>
        <v>15</v>
      </c>
      <c r="G42" s="32">
        <f>D42*Assumptions!$B$16</f>
        <v>1.9688287179487158</v>
      </c>
      <c r="H42" s="33">
        <f>IF(OR(A42&lt;=Assumptions!$B$12,A42&gt;Assumptions!$B$14),0,MIN($K$19/(Assumptions!$B$14-$A$19),D42))</f>
        <v>5.3555354449472059</v>
      </c>
      <c r="I42" s="34">
        <f>IF(A42&gt;Assumptions!$B$14,0,MIN(SUMPRODUCT((Assumptions!$B$53:$B$57=A42)*Assumptions!$C$53:$C$57)*Assumptions!$B$50,D42-H42))</f>
        <v>0</v>
      </c>
      <c r="J42" s="11">
        <f t="shared" si="7"/>
        <v>5.3555354449472059</v>
      </c>
      <c r="K42" s="11">
        <f t="shared" si="8"/>
        <v>85.688567119155266</v>
      </c>
      <c r="L42" s="12">
        <f>IF(OR(A42&gt;Assumptions!$B$14,(G42+H42)=0),"",F42/(G42+H42))</f>
        <v>2.0479593404145091</v>
      </c>
      <c r="M42" s="10" t="str">
        <f>IF(A42&gt;Assumptions!$B$14,"Closed",IF(A42&lt;=Assumptions!$B$12,"Moratorium",IF(D42=0,"Closed (Repaid Early)",IF(OR(L42="",L42&gt;=Assumptions!$B$11-0.005),"PASS/OK","BREACH"))))</f>
        <v>PASS/OK</v>
      </c>
    </row>
    <row r="43" spans="1:13" ht="15" customHeight="1" x14ac:dyDescent="0.25">
      <c r="A43" s="13">
        <v>36</v>
      </c>
      <c r="B43" s="13">
        <f t="shared" si="5"/>
        <v>9</v>
      </c>
      <c r="C43" s="13" t="str">
        <f>IF(A43&gt;Assumptions!$B$14,"Closed",IF(A43&lt;=Assumptions!$B$12,"Moratorium","Repayment"))</f>
        <v>Repayment</v>
      </c>
      <c r="D43" s="14">
        <f t="shared" si="9"/>
        <v>85.688567119155266</v>
      </c>
      <c r="E43" s="14">
        <f>IF(B43&gt;25,0,INDEX(Assumptions!$B$22:$B$46,B43))</f>
        <v>60</v>
      </c>
      <c r="F43" s="14">
        <f t="shared" si="6"/>
        <v>15</v>
      </c>
      <c r="G43" s="35">
        <f>D43*Assumptions!$B$16</f>
        <v>1.8530152639517325</v>
      </c>
      <c r="H43" s="33">
        <f>IF(OR(A43&lt;=Assumptions!$B$12,A43&gt;Assumptions!$B$14),0,MIN($K$19/(Assumptions!$B$14-$A$19),D43))</f>
        <v>5.3555354449472059</v>
      </c>
      <c r="I43" s="36">
        <f>IF(A43&gt;Assumptions!$B$14,0,MIN(SUMPRODUCT((Assumptions!$B$53:$B$57=A43)*Assumptions!$C$53:$C$57)*Assumptions!$B$50,D43-H43))</f>
        <v>0</v>
      </c>
      <c r="J43" s="14">
        <f t="shared" si="7"/>
        <v>5.3555354449472059</v>
      </c>
      <c r="K43" s="14">
        <f t="shared" si="8"/>
        <v>80.333031674208058</v>
      </c>
      <c r="L43" s="15">
        <f>IF(OR(A43&gt;Assumptions!$B$14,(G43+H43)=0),"",F43/(G43+H43))</f>
        <v>2.0808621047060871</v>
      </c>
      <c r="M43" s="13" t="str">
        <f>IF(A43&gt;Assumptions!$B$14,"Closed",IF(A43&lt;=Assumptions!$B$12,"Moratorium",IF(D43=0,"Closed (Repaid Early)",IF(OR(L43="",L43&gt;=Assumptions!$B$11-0.005),"PASS/OK","BREACH"))))</f>
        <v>PASS/OK</v>
      </c>
    </row>
    <row r="44" spans="1:13" ht="15" customHeight="1" x14ac:dyDescent="0.25">
      <c r="A44" s="10">
        <v>37</v>
      </c>
      <c r="B44" s="10">
        <f t="shared" si="5"/>
        <v>10</v>
      </c>
      <c r="C44" s="10" t="str">
        <f>IF(A44&gt;Assumptions!$B$14,"Closed",IF(A44&lt;=Assumptions!$B$12,"Moratorium","Repayment"))</f>
        <v>Repayment</v>
      </c>
      <c r="D44" s="11">
        <f t="shared" si="9"/>
        <v>80.333031674208058</v>
      </c>
      <c r="E44" s="11">
        <f>IF(B44&gt;25,0,INDEX(Assumptions!$B$22:$B$46,B44))</f>
        <v>60</v>
      </c>
      <c r="F44" s="11">
        <f t="shared" si="6"/>
        <v>15</v>
      </c>
      <c r="G44" s="32">
        <f>D44*Assumptions!$B$16</f>
        <v>1.737201809954749</v>
      </c>
      <c r="H44" s="33">
        <f>IF(OR(A44&lt;=Assumptions!$B$12,A44&gt;Assumptions!$B$14),0,MIN($K$19/(Assumptions!$B$14-$A$19),D44))</f>
        <v>5.3555354449472059</v>
      </c>
      <c r="I44" s="34">
        <f>IF(A44&gt;Assumptions!$B$14,0,MIN(SUMPRODUCT((Assumptions!$B$53:$B$57=A44)*Assumptions!$C$53:$C$57)*Assumptions!$B$50,D44-H44))</f>
        <v>0</v>
      </c>
      <c r="J44" s="11">
        <f t="shared" si="7"/>
        <v>5.3555354449472059</v>
      </c>
      <c r="K44" s="11">
        <f t="shared" si="8"/>
        <v>74.977496229260851</v>
      </c>
      <c r="L44" s="12">
        <f>IF(OR(A44&gt;Assumptions!$B$14,(G44+H44)=0),"",F44/(G44+H44))</f>
        <v>2.114839371729603</v>
      </c>
      <c r="M44" s="10" t="str">
        <f>IF(A44&gt;Assumptions!$B$14,"Closed",IF(A44&lt;=Assumptions!$B$12,"Moratorium",IF(D44=0,"Closed (Repaid Early)",IF(OR(L44="",L44&gt;=Assumptions!$B$11-0.005),"PASS/OK","BREACH"))))</f>
        <v>PASS/OK</v>
      </c>
    </row>
    <row r="45" spans="1:13" ht="15" customHeight="1" x14ac:dyDescent="0.25">
      <c r="A45" s="13">
        <v>38</v>
      </c>
      <c r="B45" s="13">
        <f t="shared" si="5"/>
        <v>10</v>
      </c>
      <c r="C45" s="13" t="str">
        <f>IF(A45&gt;Assumptions!$B$14,"Closed",IF(A45&lt;=Assumptions!$B$12,"Moratorium","Repayment"))</f>
        <v>Repayment</v>
      </c>
      <c r="D45" s="14">
        <f t="shared" si="9"/>
        <v>74.977496229260851</v>
      </c>
      <c r="E45" s="14">
        <f>IF(B45&gt;25,0,INDEX(Assumptions!$B$22:$B$46,B45))</f>
        <v>60</v>
      </c>
      <c r="F45" s="14">
        <f t="shared" si="6"/>
        <v>15</v>
      </c>
      <c r="G45" s="35">
        <f>D45*Assumptions!$B$16</f>
        <v>1.6213883559577658</v>
      </c>
      <c r="H45" s="33">
        <f>IF(OR(A45&lt;=Assumptions!$B$12,A45&gt;Assumptions!$B$14),0,MIN($K$19/(Assumptions!$B$14-$A$19),D45))</f>
        <v>5.3555354449472059</v>
      </c>
      <c r="I45" s="36">
        <f>IF(A45&gt;Assumptions!$B$14,0,MIN(SUMPRODUCT((Assumptions!$B$53:$B$57=A45)*Assumptions!$C$53:$C$57)*Assumptions!$B$50,D45-H45))</f>
        <v>0</v>
      </c>
      <c r="J45" s="14">
        <f t="shared" si="7"/>
        <v>5.3555354449472059</v>
      </c>
      <c r="K45" s="14">
        <f t="shared" si="8"/>
        <v>69.621960784313643</v>
      </c>
      <c r="L45" s="15">
        <f>IF(OR(A45&gt;Assumptions!$B$14,(G45+H45)=0),"",F45/(G45+H45))</f>
        <v>2.1499446501127562</v>
      </c>
      <c r="M45" s="13" t="str">
        <f>IF(A45&gt;Assumptions!$B$14,"Closed",IF(A45&lt;=Assumptions!$B$12,"Moratorium",IF(D45=0,"Closed (Repaid Early)",IF(OR(L45="",L45&gt;=Assumptions!$B$11-0.005),"PASS/OK","BREACH"))))</f>
        <v>PASS/OK</v>
      </c>
    </row>
    <row r="46" spans="1:13" ht="15" customHeight="1" x14ac:dyDescent="0.25">
      <c r="A46" s="10">
        <v>39</v>
      </c>
      <c r="B46" s="10">
        <f t="shared" si="5"/>
        <v>10</v>
      </c>
      <c r="C46" s="10" t="str">
        <f>IF(A46&gt;Assumptions!$B$14,"Closed",IF(A46&lt;=Assumptions!$B$12,"Moratorium","Repayment"))</f>
        <v>Repayment</v>
      </c>
      <c r="D46" s="11">
        <f t="shared" si="9"/>
        <v>69.621960784313643</v>
      </c>
      <c r="E46" s="11">
        <f>IF(B46&gt;25,0,INDEX(Assumptions!$B$22:$B$46,B46))</f>
        <v>60</v>
      </c>
      <c r="F46" s="11">
        <f t="shared" si="6"/>
        <v>15</v>
      </c>
      <c r="G46" s="32">
        <f>D46*Assumptions!$B$16</f>
        <v>1.5055749019607825</v>
      </c>
      <c r="H46" s="33">
        <f>IF(OR(A46&lt;=Assumptions!$B$12,A46&gt;Assumptions!$B$14),0,MIN($K$19/(Assumptions!$B$14-$A$19),D46))</f>
        <v>5.3555354449472059</v>
      </c>
      <c r="I46" s="34">
        <f>IF(A46&gt;Assumptions!$B$14,0,MIN(SUMPRODUCT((Assumptions!$B$53:$B$57=A46)*Assumptions!$C$53:$C$57)*Assumptions!$B$50,D46-H46))</f>
        <v>0</v>
      </c>
      <c r="J46" s="11">
        <f t="shared" si="7"/>
        <v>5.3555354449472059</v>
      </c>
      <c r="K46" s="11">
        <f t="shared" si="8"/>
        <v>64.266425339366435</v>
      </c>
      <c r="L46" s="12">
        <f>IF(OR(A46&gt;Assumptions!$B$14,(G46+H46)=0),"",F46/(G46+H46))</f>
        <v>2.1862350613206307</v>
      </c>
      <c r="M46" s="10" t="str">
        <f>IF(A46&gt;Assumptions!$B$14,"Closed",IF(A46&lt;=Assumptions!$B$12,"Moratorium",IF(D46=0,"Closed (Repaid Early)",IF(OR(L46="",L46&gt;=Assumptions!$B$11-0.005),"PASS/OK","BREACH"))))</f>
        <v>PASS/OK</v>
      </c>
    </row>
    <row r="47" spans="1:13" ht="15" customHeight="1" x14ac:dyDescent="0.25">
      <c r="A47" s="13">
        <v>40</v>
      </c>
      <c r="B47" s="13">
        <f t="shared" si="5"/>
        <v>10</v>
      </c>
      <c r="C47" s="13" t="str">
        <f>IF(A47&gt;Assumptions!$B$14,"Closed",IF(A47&lt;=Assumptions!$B$12,"Moratorium","Repayment"))</f>
        <v>Repayment</v>
      </c>
      <c r="D47" s="14">
        <f t="shared" si="9"/>
        <v>64.266425339366435</v>
      </c>
      <c r="E47" s="14">
        <f>IF(B47&gt;25,0,INDEX(Assumptions!$B$22:$B$46,B47))</f>
        <v>60</v>
      </c>
      <c r="F47" s="14">
        <f t="shared" si="6"/>
        <v>15</v>
      </c>
      <c r="G47" s="35">
        <f>D47*Assumptions!$B$16</f>
        <v>1.389761447963799</v>
      </c>
      <c r="H47" s="33">
        <f>IF(OR(A47&lt;=Assumptions!$B$12,A47&gt;Assumptions!$B$14),0,MIN($K$19/(Assumptions!$B$14-$A$19),D47))</f>
        <v>5.3555354449472059</v>
      </c>
      <c r="I47" s="36">
        <f>IF(A47&gt;Assumptions!$B$14,0,MIN(SUMPRODUCT((Assumptions!$B$53:$B$57=A47)*Assumptions!$C$53:$C$57)*Assumptions!$B$50,D47-H47))</f>
        <v>0</v>
      </c>
      <c r="J47" s="14">
        <f t="shared" si="7"/>
        <v>5.3555354449472059</v>
      </c>
      <c r="K47" s="14">
        <f t="shared" si="8"/>
        <v>58.910889894419228</v>
      </c>
      <c r="L47" s="15">
        <f>IF(OR(A47&gt;Assumptions!$B$14,(G47+H47)=0),"",F47/(G47+H47))</f>
        <v>2.2237716498089664</v>
      </c>
      <c r="M47" s="13" t="str">
        <f>IF(A47&gt;Assumptions!$B$14,"Closed",IF(A47&lt;=Assumptions!$B$12,"Moratorium",IF(D47=0,"Closed (Repaid Early)",IF(OR(L47="",L47&gt;=Assumptions!$B$11-0.005),"PASS/OK","BREACH"))))</f>
        <v>PASS/OK</v>
      </c>
    </row>
    <row r="48" spans="1:13" ht="15" customHeight="1" x14ac:dyDescent="0.25">
      <c r="A48" s="10">
        <v>41</v>
      </c>
      <c r="B48" s="10">
        <f t="shared" si="5"/>
        <v>11</v>
      </c>
      <c r="C48" s="10" t="str">
        <f>IF(A48&gt;Assumptions!$B$14,"Closed",IF(A48&lt;=Assumptions!$B$12,"Moratorium","Repayment"))</f>
        <v>Repayment</v>
      </c>
      <c r="D48" s="11">
        <f t="shared" si="9"/>
        <v>58.910889894419228</v>
      </c>
      <c r="E48" s="11">
        <f>IF(B48&gt;25,0,INDEX(Assumptions!$B$22:$B$46,B48))</f>
        <v>60</v>
      </c>
      <c r="F48" s="11">
        <f t="shared" si="6"/>
        <v>15</v>
      </c>
      <c r="G48" s="32">
        <f>D48*Assumptions!$B$16</f>
        <v>1.2739479939668157</v>
      </c>
      <c r="H48" s="33">
        <f>IF(OR(A48&lt;=Assumptions!$B$12,A48&gt;Assumptions!$B$14),0,MIN($K$19/(Assumptions!$B$14-$A$19),D48))</f>
        <v>5.3555354449472059</v>
      </c>
      <c r="I48" s="34">
        <f>IF(A48&gt;Assumptions!$B$14,0,MIN(SUMPRODUCT((Assumptions!$B$53:$B$57=A48)*Assumptions!$C$53:$C$57)*Assumptions!$B$50,D48-H48))</f>
        <v>0</v>
      </c>
      <c r="J48" s="11">
        <f t="shared" si="7"/>
        <v>5.3555354449472059</v>
      </c>
      <c r="K48" s="11">
        <f t="shared" si="8"/>
        <v>53.55535444947202</v>
      </c>
      <c r="L48" s="12">
        <f>IF(OR(A48&gt;Assumptions!$B$14,(G48+H48)=0),"",F48/(G48+H48))</f>
        <v>2.2626197256866751</v>
      </c>
      <c r="M48" s="10" t="str">
        <f>IF(A48&gt;Assumptions!$B$14,"Closed",IF(A48&lt;=Assumptions!$B$12,"Moratorium",IF(D48=0,"Closed (Repaid Early)",IF(OR(L48="",L48&gt;=Assumptions!$B$11-0.005),"PASS/OK","BREACH"))))</f>
        <v>PASS/OK</v>
      </c>
    </row>
    <row r="49" spans="1:13" ht="15" customHeight="1" x14ac:dyDescent="0.25">
      <c r="A49" s="13">
        <v>42</v>
      </c>
      <c r="B49" s="13">
        <f t="shared" si="5"/>
        <v>11</v>
      </c>
      <c r="C49" s="13" t="str">
        <f>IF(A49&gt;Assumptions!$B$14,"Closed",IF(A49&lt;=Assumptions!$B$12,"Moratorium","Repayment"))</f>
        <v>Repayment</v>
      </c>
      <c r="D49" s="14">
        <f t="shared" si="9"/>
        <v>53.55535444947202</v>
      </c>
      <c r="E49" s="14">
        <f>IF(B49&gt;25,0,INDEX(Assumptions!$B$22:$B$46,B49))</f>
        <v>60</v>
      </c>
      <c r="F49" s="14">
        <f t="shared" si="6"/>
        <v>15</v>
      </c>
      <c r="G49" s="35">
        <f>D49*Assumptions!$B$16</f>
        <v>1.1581345399698324</v>
      </c>
      <c r="H49" s="33">
        <f>IF(OR(A49&lt;=Assumptions!$B$12,A49&gt;Assumptions!$B$14),0,MIN($K$19/(Assumptions!$B$14-$A$19),D49))</f>
        <v>5.3555354449472059</v>
      </c>
      <c r="I49" s="36">
        <f>IF(A49&gt;Assumptions!$B$14,0,MIN(SUMPRODUCT((Assumptions!$B$53:$B$57=A49)*Assumptions!$C$53:$C$57)*Assumptions!$B$50,D49-H49))</f>
        <v>0</v>
      </c>
      <c r="J49" s="14">
        <f t="shared" si="7"/>
        <v>5.3555354449472059</v>
      </c>
      <c r="K49" s="14">
        <f t="shared" si="8"/>
        <v>48.199819004524812</v>
      </c>
      <c r="L49" s="15">
        <f>IF(OR(A49&gt;Assumptions!$B$14,(G49+H49)=0),"",F49/(G49+H49))</f>
        <v>2.3028492439337249</v>
      </c>
      <c r="M49" s="13" t="str">
        <f>IF(A49&gt;Assumptions!$B$14,"Closed",IF(A49&lt;=Assumptions!$B$12,"Moratorium",IF(D49=0,"Closed (Repaid Early)",IF(OR(L49="",L49&gt;=Assumptions!$B$11-0.005),"PASS/OK","BREACH"))))</f>
        <v>PASS/OK</v>
      </c>
    </row>
    <row r="50" spans="1:13" ht="15" customHeight="1" x14ac:dyDescent="0.25">
      <c r="A50" s="10">
        <v>43</v>
      </c>
      <c r="B50" s="10">
        <f t="shared" si="5"/>
        <v>11</v>
      </c>
      <c r="C50" s="10" t="str">
        <f>IF(A50&gt;Assumptions!$B$14,"Closed",IF(A50&lt;=Assumptions!$B$12,"Moratorium","Repayment"))</f>
        <v>Repayment</v>
      </c>
      <c r="D50" s="11">
        <f t="shared" si="9"/>
        <v>48.199819004524812</v>
      </c>
      <c r="E50" s="11">
        <f>IF(B50&gt;25,0,INDEX(Assumptions!$B$22:$B$46,B50))</f>
        <v>60</v>
      </c>
      <c r="F50" s="11">
        <f t="shared" si="6"/>
        <v>15</v>
      </c>
      <c r="G50" s="32">
        <f>D50*Assumptions!$B$16</f>
        <v>1.0423210859728489</v>
      </c>
      <c r="H50" s="33">
        <f>IF(OR(A50&lt;=Assumptions!$B$12,A50&gt;Assumptions!$B$14),0,MIN($K$19/(Assumptions!$B$14-$A$19),D50))</f>
        <v>5.3555354449472059</v>
      </c>
      <c r="I50" s="34">
        <f>IF(A50&gt;Assumptions!$B$14,0,MIN(SUMPRODUCT((Assumptions!$B$53:$B$57=A50)*Assumptions!$C$53:$C$57)*Assumptions!$B$50,D50-H50))</f>
        <v>0</v>
      </c>
      <c r="J50" s="11">
        <f t="shared" si="7"/>
        <v>5.3555354449472059</v>
      </c>
      <c r="K50" s="11">
        <f t="shared" si="8"/>
        <v>42.844283559577605</v>
      </c>
      <c r="L50" s="12">
        <f>IF(OR(A50&gt;Assumptions!$B$14,(G50+H50)=0),"",F50/(G50+H50))</f>
        <v>2.3445352248064397</v>
      </c>
      <c r="M50" s="10" t="str">
        <f>IF(A50&gt;Assumptions!$B$14,"Closed",IF(A50&lt;=Assumptions!$B$12,"Moratorium",IF(D50=0,"Closed (Repaid Early)",IF(OR(L50="",L50&gt;=Assumptions!$B$11-0.005),"PASS/OK","BREACH"))))</f>
        <v>PASS/OK</v>
      </c>
    </row>
    <row r="51" spans="1:13" ht="15" customHeight="1" x14ac:dyDescent="0.25">
      <c r="A51" s="13">
        <v>44</v>
      </c>
      <c r="B51" s="13">
        <f t="shared" si="5"/>
        <v>11</v>
      </c>
      <c r="C51" s="13" t="str">
        <f>IF(A51&gt;Assumptions!$B$14,"Closed",IF(A51&lt;=Assumptions!$B$12,"Moratorium","Repayment"))</f>
        <v>Repayment</v>
      </c>
      <c r="D51" s="14">
        <f t="shared" si="9"/>
        <v>42.844283559577605</v>
      </c>
      <c r="E51" s="14">
        <f>IF(B51&gt;25,0,INDEX(Assumptions!$B$22:$B$46,B51))</f>
        <v>60</v>
      </c>
      <c r="F51" s="14">
        <f t="shared" si="6"/>
        <v>15</v>
      </c>
      <c r="G51" s="35">
        <f>D51*Assumptions!$B$16</f>
        <v>0.92650763197586561</v>
      </c>
      <c r="H51" s="33">
        <f>IF(OR(A51&lt;=Assumptions!$B$12,A51&gt;Assumptions!$B$14),0,MIN($K$19/(Assumptions!$B$14-$A$19),D51))</f>
        <v>5.3555354449472059</v>
      </c>
      <c r="I51" s="36">
        <f>IF(A51&gt;Assumptions!$B$14,0,MIN(SUMPRODUCT((Assumptions!$B$53:$B$57=A51)*Assumptions!$C$53:$C$57)*Assumptions!$B$50,D51-H51))</f>
        <v>0</v>
      </c>
      <c r="J51" s="14">
        <f t="shared" si="7"/>
        <v>5.3555354449472059</v>
      </c>
      <c r="K51" s="14">
        <f t="shared" si="8"/>
        <v>37.488748114630397</v>
      </c>
      <c r="L51" s="15">
        <f>IF(OR(A51&gt;Assumptions!$B$14,(G51+H51)=0),"",F51/(G51+H51))</f>
        <v>2.3877582207454333</v>
      </c>
      <c r="M51" s="13" t="str">
        <f>IF(A51&gt;Assumptions!$B$14,"Closed",IF(A51&lt;=Assumptions!$B$12,"Moratorium",IF(D51=0,"Closed (Repaid Early)",IF(OR(L51="",L51&gt;=Assumptions!$B$11-0.005),"PASS/OK","BREACH"))))</f>
        <v>PASS/OK</v>
      </c>
    </row>
    <row r="52" spans="1:13" ht="15" customHeight="1" x14ac:dyDescent="0.25">
      <c r="A52" s="10">
        <v>45</v>
      </c>
      <c r="B52" s="10">
        <f t="shared" si="5"/>
        <v>12</v>
      </c>
      <c r="C52" s="10" t="str">
        <f>IF(A52&gt;Assumptions!$B$14,"Closed",IF(A52&lt;=Assumptions!$B$12,"Moratorium","Repayment"))</f>
        <v>Repayment</v>
      </c>
      <c r="D52" s="11">
        <f t="shared" si="9"/>
        <v>37.488748114630397</v>
      </c>
      <c r="E52" s="11">
        <f>IF(B52&gt;25,0,INDEX(Assumptions!$B$22:$B$46,B52))</f>
        <v>60</v>
      </c>
      <c r="F52" s="11">
        <f t="shared" si="6"/>
        <v>15</v>
      </c>
      <c r="G52" s="32">
        <f>D52*Assumptions!$B$16</f>
        <v>0.81069417797888232</v>
      </c>
      <c r="H52" s="33">
        <f>IF(OR(A52&lt;=Assumptions!$B$12,A52&gt;Assumptions!$B$14),0,MIN($K$19/(Assumptions!$B$14-$A$19),D52))</f>
        <v>5.3555354449472059</v>
      </c>
      <c r="I52" s="34">
        <f>IF(A52&gt;Assumptions!$B$14,0,MIN(SUMPRODUCT((Assumptions!$B$53:$B$57=A52)*Assumptions!$C$53:$C$57)*Assumptions!$B$50,D52-H52))</f>
        <v>0</v>
      </c>
      <c r="J52" s="11">
        <f t="shared" si="7"/>
        <v>5.3555354449472059</v>
      </c>
      <c r="K52" s="11">
        <f t="shared" si="8"/>
        <v>32.133212669683189</v>
      </c>
      <c r="L52" s="12">
        <f>IF(OR(A52&gt;Assumptions!$B$14,(G52+H52)=0),"",F52/(G52+H52))</f>
        <v>2.4326048359000265</v>
      </c>
      <c r="M52" s="10" t="str">
        <f>IF(A52&gt;Assumptions!$B$14,"Closed",IF(A52&lt;=Assumptions!$B$12,"Moratorium",IF(D52=0,"Closed (Repaid Early)",IF(OR(L52="",L52&gt;=Assumptions!$B$11-0.005),"PASS/OK","BREACH"))))</f>
        <v>PASS/OK</v>
      </c>
    </row>
    <row r="53" spans="1:13" ht="15" customHeight="1" x14ac:dyDescent="0.25">
      <c r="A53" s="13">
        <v>46</v>
      </c>
      <c r="B53" s="13">
        <f t="shared" si="5"/>
        <v>12</v>
      </c>
      <c r="C53" s="13" t="str">
        <f>IF(A53&gt;Assumptions!$B$14,"Closed",IF(A53&lt;=Assumptions!$B$12,"Moratorium","Repayment"))</f>
        <v>Repayment</v>
      </c>
      <c r="D53" s="14">
        <f t="shared" si="9"/>
        <v>32.133212669683189</v>
      </c>
      <c r="E53" s="14">
        <f>IF(B53&gt;25,0,INDEX(Assumptions!$B$22:$B$46,B53))</f>
        <v>60</v>
      </c>
      <c r="F53" s="14">
        <f t="shared" si="6"/>
        <v>15</v>
      </c>
      <c r="G53" s="35">
        <f>D53*Assumptions!$B$16</f>
        <v>0.69488072398189893</v>
      </c>
      <c r="H53" s="33">
        <f>IF(OR(A53&lt;=Assumptions!$B$12,A53&gt;Assumptions!$B$14),0,MIN($K$19/(Assumptions!$B$14-$A$19),D53))</f>
        <v>5.3555354449472059</v>
      </c>
      <c r="I53" s="36">
        <f>IF(A53&gt;Assumptions!$B$14,0,MIN(SUMPRODUCT((Assumptions!$B$53:$B$57=A53)*Assumptions!$C$53:$C$57)*Assumptions!$B$50,D53-H53))</f>
        <v>0</v>
      </c>
      <c r="J53" s="14">
        <f t="shared" si="7"/>
        <v>5.3555354449472059</v>
      </c>
      <c r="K53" s="14">
        <f t="shared" si="8"/>
        <v>26.777677224735982</v>
      </c>
      <c r="L53" s="15">
        <f>IF(OR(A53&gt;Assumptions!$B$14,(G53+H53)=0),"",F53/(G53+H53))</f>
        <v>2.4791683053192242</v>
      </c>
      <c r="M53" s="13" t="str">
        <f>IF(A53&gt;Assumptions!$B$14,"Closed",IF(A53&lt;=Assumptions!$B$12,"Moratorium",IF(D53=0,"Closed (Repaid Early)",IF(OR(L53="",L53&gt;=Assumptions!$B$11-0.005),"PASS/OK","BREACH"))))</f>
        <v>PASS/OK</v>
      </c>
    </row>
    <row r="54" spans="1:13" ht="15" customHeight="1" x14ac:dyDescent="0.25">
      <c r="A54" s="10">
        <v>47</v>
      </c>
      <c r="B54" s="10">
        <f t="shared" si="5"/>
        <v>12</v>
      </c>
      <c r="C54" s="10" t="str">
        <f>IF(A54&gt;Assumptions!$B$14,"Closed",IF(A54&lt;=Assumptions!$B$12,"Moratorium","Repayment"))</f>
        <v>Repayment</v>
      </c>
      <c r="D54" s="11">
        <f t="shared" si="9"/>
        <v>26.777677224735982</v>
      </c>
      <c r="E54" s="11">
        <f>IF(B54&gt;25,0,INDEX(Assumptions!$B$22:$B$46,B54))</f>
        <v>60</v>
      </c>
      <c r="F54" s="11">
        <f t="shared" si="6"/>
        <v>15</v>
      </c>
      <c r="G54" s="32">
        <f>D54*Assumptions!$B$16</f>
        <v>0.57906726998491553</v>
      </c>
      <c r="H54" s="33">
        <f>IF(OR(A54&lt;=Assumptions!$B$12,A54&gt;Assumptions!$B$14),0,MIN($K$19/(Assumptions!$B$14-$A$19),D54))</f>
        <v>5.3555354449472059</v>
      </c>
      <c r="I54" s="34">
        <f>IF(A54&gt;Assumptions!$B$14,0,MIN(SUMPRODUCT((Assumptions!$B$53:$B$57=A54)*Assumptions!$C$53:$C$57)*Assumptions!$B$50,D54-H54))</f>
        <v>0</v>
      </c>
      <c r="J54" s="11">
        <f t="shared" si="7"/>
        <v>5.3555354449472059</v>
      </c>
      <c r="K54" s="11">
        <f t="shared" si="8"/>
        <v>21.422141779788774</v>
      </c>
      <c r="L54" s="12">
        <f>IF(OR(A54&gt;Assumptions!$B$14,(G54+H54)=0),"",F54/(G54+H54))</f>
        <v>2.5275491419599714</v>
      </c>
      <c r="M54" s="10" t="str">
        <f>IF(A54&gt;Assumptions!$B$14,"Closed",IF(A54&lt;=Assumptions!$B$12,"Moratorium",IF(D54=0,"Closed (Repaid Early)",IF(OR(L54="",L54&gt;=Assumptions!$B$11-0.005),"PASS/OK","BREACH"))))</f>
        <v>PASS/OK</v>
      </c>
    </row>
    <row r="55" spans="1:13" ht="15" customHeight="1" x14ac:dyDescent="0.25">
      <c r="A55" s="13">
        <v>48</v>
      </c>
      <c r="B55" s="13">
        <f t="shared" si="5"/>
        <v>12</v>
      </c>
      <c r="C55" s="13" t="str">
        <f>IF(A55&gt;Assumptions!$B$14,"Closed",IF(A55&lt;=Assumptions!$B$12,"Moratorium","Repayment"))</f>
        <v>Repayment</v>
      </c>
      <c r="D55" s="14">
        <f t="shared" si="9"/>
        <v>21.422141779788774</v>
      </c>
      <c r="E55" s="14">
        <f>IF(B55&gt;25,0,INDEX(Assumptions!$B$22:$B$46,B55))</f>
        <v>60</v>
      </c>
      <c r="F55" s="14">
        <f t="shared" si="6"/>
        <v>15</v>
      </c>
      <c r="G55" s="35">
        <f>D55*Assumptions!$B$16</f>
        <v>0.46325381598793219</v>
      </c>
      <c r="H55" s="33">
        <f>IF(OR(A55&lt;=Assumptions!$B$12,A55&gt;Assumptions!$B$14),0,MIN($K$19/(Assumptions!$B$14-$A$19),D55))</f>
        <v>5.3555354449472059</v>
      </c>
      <c r="I55" s="36">
        <f>IF(A55&gt;Assumptions!$B$14,0,MIN(SUMPRODUCT((Assumptions!$B$53:$B$57=A55)*Assumptions!$C$53:$C$57)*Assumptions!$B$50,D55-H55))</f>
        <v>0</v>
      </c>
      <c r="J55" s="14">
        <f t="shared" si="7"/>
        <v>5.3555354449472059</v>
      </c>
      <c r="K55" s="14">
        <f t="shared" si="8"/>
        <v>16.066606334841566</v>
      </c>
      <c r="L55" s="15">
        <f>IF(OR(A55&gt;Assumptions!$B$14,(G55+H55)=0),"",F55/(G55+H55))</f>
        <v>2.5778558609612454</v>
      </c>
      <c r="M55" s="13" t="str">
        <f>IF(A55&gt;Assumptions!$B$14,"Closed",IF(A55&lt;=Assumptions!$B$12,"Moratorium",IF(D55=0,"Closed (Repaid Early)",IF(OR(L55="",L55&gt;=Assumptions!$B$11-0.005),"PASS/OK","BREACH"))))</f>
        <v>PASS/OK</v>
      </c>
    </row>
    <row r="56" spans="1:13" ht="15" customHeight="1" x14ac:dyDescent="0.25">
      <c r="A56" s="10">
        <v>49</v>
      </c>
      <c r="B56" s="10">
        <f t="shared" si="5"/>
        <v>13</v>
      </c>
      <c r="C56" s="10" t="str">
        <f>IF(A56&gt;Assumptions!$B$14,"Closed",IF(A56&lt;=Assumptions!$B$12,"Moratorium","Repayment"))</f>
        <v>Repayment</v>
      </c>
      <c r="D56" s="11">
        <f t="shared" si="9"/>
        <v>16.066606334841566</v>
      </c>
      <c r="E56" s="11">
        <f>IF(B56&gt;25,0,INDEX(Assumptions!$B$22:$B$46,B56))</f>
        <v>60</v>
      </c>
      <c r="F56" s="11">
        <f t="shared" si="6"/>
        <v>15</v>
      </c>
      <c r="G56" s="32">
        <f>D56*Assumptions!$B$16</f>
        <v>0.34744036199094885</v>
      </c>
      <c r="H56" s="33">
        <f>IF(OR(A56&lt;=Assumptions!$B$12,A56&gt;Assumptions!$B$14),0,MIN($K$19/(Assumptions!$B$14-$A$19),D56))</f>
        <v>5.3555354449472059</v>
      </c>
      <c r="I56" s="34">
        <f>IF(A56&gt;Assumptions!$B$14,0,MIN(SUMPRODUCT((Assumptions!$B$53:$B$57=A56)*Assumptions!$C$53:$C$57)*Assumptions!$B$50,D56-H56))</f>
        <v>0</v>
      </c>
      <c r="J56" s="11">
        <f t="shared" si="7"/>
        <v>5.3555354449472059</v>
      </c>
      <c r="K56" s="11">
        <f t="shared" si="8"/>
        <v>10.71107088989436</v>
      </c>
      <c r="L56" s="12">
        <f>IF(OR(A56&gt;Assumptions!$B$14,(G56+H56)=0),"",F56/(G56+H56))</f>
        <v>2.630205792167525</v>
      </c>
      <c r="M56" s="10" t="str">
        <f>IF(A56&gt;Assumptions!$B$14,"Closed",IF(A56&lt;=Assumptions!$B$12,"Moratorium",IF(D56=0,"Closed (Repaid Early)",IF(OR(L56="",L56&gt;=Assumptions!$B$11-0.005),"PASS/OK","BREACH"))))</f>
        <v>PASS/OK</v>
      </c>
    </row>
    <row r="57" spans="1:13" ht="15" customHeight="1" x14ac:dyDescent="0.25">
      <c r="A57" s="13">
        <v>50</v>
      </c>
      <c r="B57" s="13">
        <f t="shared" si="5"/>
        <v>13</v>
      </c>
      <c r="C57" s="13" t="str">
        <f>IF(A57&gt;Assumptions!$B$14,"Closed",IF(A57&lt;=Assumptions!$B$12,"Moratorium","Repayment"))</f>
        <v>Repayment</v>
      </c>
      <c r="D57" s="14">
        <f t="shared" si="9"/>
        <v>10.71107088989436</v>
      </c>
      <c r="E57" s="14">
        <f>IF(B57&gt;25,0,INDEX(Assumptions!$B$22:$B$46,B57))</f>
        <v>60</v>
      </c>
      <c r="F57" s="14">
        <f t="shared" si="6"/>
        <v>15</v>
      </c>
      <c r="G57" s="35">
        <f>D57*Assumptions!$B$16</f>
        <v>0.23162690799396551</v>
      </c>
      <c r="H57" s="33">
        <f>IF(OR(A57&lt;=Assumptions!$B$12,A57&gt;Assumptions!$B$14),0,MIN($K$19/(Assumptions!$B$14-$A$19),D57))</f>
        <v>5.3555354449472059</v>
      </c>
      <c r="I57" s="36">
        <f>IF(A57&gt;Assumptions!$B$14,0,MIN(SUMPRODUCT((Assumptions!$B$53:$B$57=A57)*Assumptions!$C$53:$C$57)*Assumptions!$B$50,D57-H57))</f>
        <v>0</v>
      </c>
      <c r="J57" s="14">
        <f t="shared" si="7"/>
        <v>5.3555354449472059</v>
      </c>
      <c r="K57" s="14">
        <f t="shared" si="8"/>
        <v>5.3555354449471544</v>
      </c>
      <c r="L57" s="15">
        <f>IF(OR(A57&gt;Assumptions!$B$14,(G57+H57)=0),"",F57/(G57+H57))</f>
        <v>2.6847259937065835</v>
      </c>
      <c r="M57" s="13" t="str">
        <f>IF(A57&gt;Assumptions!$B$14,"Closed",IF(A57&lt;=Assumptions!$B$12,"Moratorium",IF(D57=0,"Closed (Repaid Early)",IF(OR(L57="",L57&gt;=Assumptions!$B$11-0.005),"PASS/OK","BREACH"))))</f>
        <v>PASS/OK</v>
      </c>
    </row>
    <row r="58" spans="1:13" ht="15" customHeight="1" x14ac:dyDescent="0.25">
      <c r="A58" s="10">
        <v>51</v>
      </c>
      <c r="B58" s="10">
        <f t="shared" si="5"/>
        <v>13</v>
      </c>
      <c r="C58" s="10" t="str">
        <f>IF(A58&gt;Assumptions!$B$14,"Closed",IF(A58&lt;=Assumptions!$B$12,"Moratorium","Repayment"))</f>
        <v>Repayment</v>
      </c>
      <c r="D58" s="11">
        <f t="shared" si="9"/>
        <v>5.3555354449471544</v>
      </c>
      <c r="E58" s="11">
        <f>IF(B58&gt;25,0,INDEX(Assumptions!$B$22:$B$46,B58))</f>
        <v>60</v>
      </c>
      <c r="F58" s="11">
        <f t="shared" si="6"/>
        <v>15</v>
      </c>
      <c r="G58" s="32">
        <f>D58*Assumptions!$B$16</f>
        <v>0.1158134539969822</v>
      </c>
      <c r="H58" s="33">
        <f>IF(OR(A58&lt;=Assumptions!$B$12,A58&gt;Assumptions!$B$14),0,MIN($K$19/(Assumptions!$B$14-$A$19),D58))</f>
        <v>5.3555354449471544</v>
      </c>
      <c r="I58" s="34">
        <f>IF(A58&gt;Assumptions!$B$14,0,MIN(SUMPRODUCT((Assumptions!$B$53:$B$57=A58)*Assumptions!$C$53:$C$57)*Assumptions!$B$50,D58-H58))</f>
        <v>0</v>
      </c>
      <c r="J58" s="11">
        <f t="shared" si="7"/>
        <v>5.3555354449471544</v>
      </c>
      <c r="K58" s="11">
        <f t="shared" si="8"/>
        <v>0</v>
      </c>
      <c r="L58" s="12">
        <f>IF(OR(A58&gt;Assumptions!$B$14,(G58+H58)=0),"",F58/(G58+H58))</f>
        <v>2.7415542815949294</v>
      </c>
      <c r="M58" s="10" t="str">
        <f>IF(A58&gt;Assumptions!$B$14,"Closed",IF(A58&lt;=Assumptions!$B$12,"Moratorium",IF(D58=0,"Closed (Repaid Early)",IF(OR(L58="",L58&gt;=Assumptions!$B$11-0.005),"PASS/OK","BREACH"))))</f>
        <v>PASS/OK</v>
      </c>
    </row>
    <row r="59" spans="1:13" ht="15" customHeight="1" x14ac:dyDescent="0.25">
      <c r="A59" s="13">
        <v>52</v>
      </c>
      <c r="B59" s="13">
        <f t="shared" si="5"/>
        <v>13</v>
      </c>
      <c r="C59" s="13" t="str">
        <f>IF(A59&gt;Assumptions!$B$14,"Closed",IF(A59&lt;=Assumptions!$B$12,"Moratorium","Repayment"))</f>
        <v>Closed</v>
      </c>
      <c r="D59" s="14">
        <f t="shared" si="9"/>
        <v>0</v>
      </c>
      <c r="E59" s="14">
        <f>IF(B59&gt;25,0,INDEX(Assumptions!$B$22:$B$46,B59))</f>
        <v>60</v>
      </c>
      <c r="F59" s="14">
        <f t="shared" si="6"/>
        <v>15</v>
      </c>
      <c r="G59" s="35">
        <f>D59*Assumptions!$B$16</f>
        <v>0</v>
      </c>
      <c r="H59" s="33">
        <f>IF(OR(A59&lt;=Assumptions!$B$12,A59&gt;Assumptions!$B$14),0,MIN($K$19/(Assumptions!$B$14-$A$19),D59))</f>
        <v>0</v>
      </c>
      <c r="I59" s="36">
        <f>IF(A59&gt;Assumptions!$B$14,0,MIN(SUMPRODUCT((Assumptions!$B$53:$B$57=A59)*Assumptions!$C$53:$C$57)*Assumptions!$B$50,D59-H59))</f>
        <v>0</v>
      </c>
      <c r="J59" s="14">
        <f t="shared" si="7"/>
        <v>0</v>
      </c>
      <c r="K59" s="14">
        <f t="shared" si="8"/>
        <v>0</v>
      </c>
      <c r="L59" s="15" t="str">
        <f>IF(OR(A59&gt;Assumptions!$B$14,(G59+H59)=0),"",F59/(G59+H59))</f>
        <v/>
      </c>
      <c r="M59" s="13" t="str">
        <f>IF(A59&gt;Assumptions!$B$14,"Closed",IF(A59&lt;=Assumptions!$B$12,"Moratorium",IF(D59=0,"Closed (Repaid Early)",IF(OR(L59="",L59&gt;=Assumptions!$B$11-0.005),"PASS/OK","BREACH"))))</f>
        <v>Closed</v>
      </c>
    </row>
    <row r="60" spans="1:13" ht="15" customHeight="1" x14ac:dyDescent="0.25">
      <c r="A60" s="10">
        <v>53</v>
      </c>
      <c r="B60" s="10">
        <f t="shared" si="5"/>
        <v>14</v>
      </c>
      <c r="C60" s="10" t="str">
        <f>IF(A60&gt;Assumptions!$B$14,"Closed",IF(A60&lt;=Assumptions!$B$12,"Moratorium","Repayment"))</f>
        <v>Closed</v>
      </c>
      <c r="D60" s="11">
        <f t="shared" si="9"/>
        <v>0</v>
      </c>
      <c r="E60" s="11">
        <f>IF(B60&gt;25,0,INDEX(Assumptions!$B$22:$B$46,B60))</f>
        <v>60</v>
      </c>
      <c r="F60" s="11">
        <f t="shared" si="6"/>
        <v>15</v>
      </c>
      <c r="G60" s="32">
        <f>D60*Assumptions!$B$16</f>
        <v>0</v>
      </c>
      <c r="H60" s="33">
        <f>IF(OR(A60&lt;=Assumptions!$B$12,A60&gt;Assumptions!$B$14),0,MIN($K$19/(Assumptions!$B$14-$A$19),D60))</f>
        <v>0</v>
      </c>
      <c r="I60" s="34">
        <f>IF(A60&gt;Assumptions!$B$14,0,MIN(SUMPRODUCT((Assumptions!$B$53:$B$57=A60)*Assumptions!$C$53:$C$57)*Assumptions!$B$50,D60-H60))</f>
        <v>0</v>
      </c>
      <c r="J60" s="11">
        <f t="shared" si="7"/>
        <v>0</v>
      </c>
      <c r="K60" s="11">
        <f t="shared" si="8"/>
        <v>0</v>
      </c>
      <c r="L60" s="12" t="str">
        <f>IF(OR(A60&gt;Assumptions!$B$14,(G60+H60)=0),"",F60/(G60+H60))</f>
        <v/>
      </c>
      <c r="M60" s="10" t="str">
        <f>IF(A60&gt;Assumptions!$B$14,"Closed",IF(A60&lt;=Assumptions!$B$12,"Moratorium",IF(D60=0,"Closed (Repaid Early)",IF(OR(L60="",L60&gt;=Assumptions!$B$11-0.005),"PASS/OK","BREACH"))))</f>
        <v>Closed</v>
      </c>
    </row>
    <row r="61" spans="1:13" ht="15" customHeight="1" x14ac:dyDescent="0.25">
      <c r="A61" s="13">
        <v>54</v>
      </c>
      <c r="B61" s="13">
        <f t="shared" si="5"/>
        <v>14</v>
      </c>
      <c r="C61" s="13" t="str">
        <f>IF(A61&gt;Assumptions!$B$14,"Closed",IF(A61&lt;=Assumptions!$B$12,"Moratorium","Repayment"))</f>
        <v>Closed</v>
      </c>
      <c r="D61" s="14">
        <f t="shared" si="9"/>
        <v>0</v>
      </c>
      <c r="E61" s="14">
        <f>IF(B61&gt;25,0,INDEX(Assumptions!$B$22:$B$46,B61))</f>
        <v>60</v>
      </c>
      <c r="F61" s="14">
        <f t="shared" si="6"/>
        <v>15</v>
      </c>
      <c r="G61" s="35">
        <f>D61*Assumptions!$B$16</f>
        <v>0</v>
      </c>
      <c r="H61" s="33">
        <f>IF(OR(A61&lt;=Assumptions!$B$12,A61&gt;Assumptions!$B$14),0,MIN($K$19/(Assumptions!$B$14-$A$19),D61))</f>
        <v>0</v>
      </c>
      <c r="I61" s="36">
        <f>IF(A61&gt;Assumptions!$B$14,0,MIN(SUMPRODUCT((Assumptions!$B$53:$B$57=A61)*Assumptions!$C$53:$C$57)*Assumptions!$B$50,D61-H61))</f>
        <v>0</v>
      </c>
      <c r="J61" s="14">
        <f t="shared" si="7"/>
        <v>0</v>
      </c>
      <c r="K61" s="14">
        <f t="shared" si="8"/>
        <v>0</v>
      </c>
      <c r="L61" s="15" t="str">
        <f>IF(OR(A61&gt;Assumptions!$B$14,(G61+H61)=0),"",F61/(G61+H61))</f>
        <v/>
      </c>
      <c r="M61" s="13" t="str">
        <f>IF(A61&gt;Assumptions!$B$14,"Closed",IF(A61&lt;=Assumptions!$B$12,"Moratorium",IF(D61=0,"Closed (Repaid Early)",IF(OR(L61="",L61&gt;=Assumptions!$B$11-0.005),"PASS/OK","BREACH"))))</f>
        <v>Closed</v>
      </c>
    </row>
    <row r="62" spans="1:13" ht="15" customHeight="1" x14ac:dyDescent="0.25">
      <c r="A62" s="10">
        <v>55</v>
      </c>
      <c r="B62" s="10">
        <f t="shared" si="5"/>
        <v>14</v>
      </c>
      <c r="C62" s="10" t="str">
        <f>IF(A62&gt;Assumptions!$B$14,"Closed",IF(A62&lt;=Assumptions!$B$12,"Moratorium","Repayment"))</f>
        <v>Closed</v>
      </c>
      <c r="D62" s="11">
        <f t="shared" si="9"/>
        <v>0</v>
      </c>
      <c r="E62" s="11">
        <f>IF(B62&gt;25,0,INDEX(Assumptions!$B$22:$B$46,B62))</f>
        <v>60</v>
      </c>
      <c r="F62" s="11">
        <f t="shared" si="6"/>
        <v>15</v>
      </c>
      <c r="G62" s="32">
        <f>D62*Assumptions!$B$16</f>
        <v>0</v>
      </c>
      <c r="H62" s="33">
        <f>IF(OR(A62&lt;=Assumptions!$B$12,A62&gt;Assumptions!$B$14),0,MIN($K$19/(Assumptions!$B$14-$A$19),D62))</f>
        <v>0</v>
      </c>
      <c r="I62" s="34">
        <f>IF(A62&gt;Assumptions!$B$14,0,MIN(SUMPRODUCT((Assumptions!$B$53:$B$57=A62)*Assumptions!$C$53:$C$57)*Assumptions!$B$50,D62-H62))</f>
        <v>0</v>
      </c>
      <c r="J62" s="11">
        <f t="shared" si="7"/>
        <v>0</v>
      </c>
      <c r="K62" s="11">
        <f t="shared" si="8"/>
        <v>0</v>
      </c>
      <c r="L62" s="12" t="str">
        <f>IF(OR(A62&gt;Assumptions!$B$14,(G62+H62)=0),"",F62/(G62+H62))</f>
        <v/>
      </c>
      <c r="M62" s="10" t="str">
        <f>IF(A62&gt;Assumptions!$B$14,"Closed",IF(A62&lt;=Assumptions!$B$12,"Moratorium",IF(D62=0,"Closed (Repaid Early)",IF(OR(L62="",L62&gt;=Assumptions!$B$11-0.005),"PASS/OK","BREACH"))))</f>
        <v>Closed</v>
      </c>
    </row>
    <row r="63" spans="1:13" ht="15" customHeight="1" x14ac:dyDescent="0.25">
      <c r="A63" s="13">
        <v>56</v>
      </c>
      <c r="B63" s="13">
        <f t="shared" si="5"/>
        <v>14</v>
      </c>
      <c r="C63" s="13" t="str">
        <f>IF(A63&gt;Assumptions!$B$14,"Closed",IF(A63&lt;=Assumptions!$B$12,"Moratorium","Repayment"))</f>
        <v>Closed</v>
      </c>
      <c r="D63" s="14">
        <f t="shared" si="9"/>
        <v>0</v>
      </c>
      <c r="E63" s="14">
        <f>IF(B63&gt;25,0,INDEX(Assumptions!$B$22:$B$46,B63))</f>
        <v>60</v>
      </c>
      <c r="F63" s="14">
        <f t="shared" si="6"/>
        <v>15</v>
      </c>
      <c r="G63" s="35">
        <f>D63*Assumptions!$B$16</f>
        <v>0</v>
      </c>
      <c r="H63" s="33">
        <f>IF(OR(A63&lt;=Assumptions!$B$12,A63&gt;Assumptions!$B$14),0,MIN($K$19/(Assumptions!$B$14-$A$19),D63))</f>
        <v>0</v>
      </c>
      <c r="I63" s="36">
        <f>IF(A63&gt;Assumptions!$B$14,0,MIN(SUMPRODUCT((Assumptions!$B$53:$B$57=A63)*Assumptions!$C$53:$C$57)*Assumptions!$B$50,D63-H63))</f>
        <v>0</v>
      </c>
      <c r="J63" s="14">
        <f t="shared" si="7"/>
        <v>0</v>
      </c>
      <c r="K63" s="14">
        <f t="shared" si="8"/>
        <v>0</v>
      </c>
      <c r="L63" s="15" t="str">
        <f>IF(OR(A63&gt;Assumptions!$B$14,(G63+H63)=0),"",F63/(G63+H63))</f>
        <v/>
      </c>
      <c r="M63" s="13" t="str">
        <f>IF(A63&gt;Assumptions!$B$14,"Closed",IF(A63&lt;=Assumptions!$B$12,"Moratorium",IF(D63=0,"Closed (Repaid Early)",IF(OR(L63="",L63&gt;=Assumptions!$B$11-0.005),"PASS/OK","BREACH"))))</f>
        <v>Closed</v>
      </c>
    </row>
    <row r="64" spans="1:13" ht="15" customHeight="1" x14ac:dyDescent="0.25">
      <c r="A64" s="10">
        <v>57</v>
      </c>
      <c r="B64" s="10">
        <f t="shared" si="5"/>
        <v>15</v>
      </c>
      <c r="C64" s="10" t="str">
        <f>IF(A64&gt;Assumptions!$B$14,"Closed",IF(A64&lt;=Assumptions!$B$12,"Moratorium","Repayment"))</f>
        <v>Closed</v>
      </c>
      <c r="D64" s="11">
        <f t="shared" si="9"/>
        <v>0</v>
      </c>
      <c r="E64" s="11">
        <f>IF(B64&gt;25,0,INDEX(Assumptions!$B$22:$B$46,B64))</f>
        <v>60</v>
      </c>
      <c r="F64" s="11">
        <f t="shared" si="6"/>
        <v>15</v>
      </c>
      <c r="G64" s="32">
        <f>D64*Assumptions!$B$16</f>
        <v>0</v>
      </c>
      <c r="H64" s="33">
        <f>IF(OR(A64&lt;=Assumptions!$B$12,A64&gt;Assumptions!$B$14),0,MIN($K$19/(Assumptions!$B$14-$A$19),D64))</f>
        <v>0</v>
      </c>
      <c r="I64" s="34">
        <f>IF(A64&gt;Assumptions!$B$14,0,MIN(SUMPRODUCT((Assumptions!$B$53:$B$57=A64)*Assumptions!$C$53:$C$57)*Assumptions!$B$50,D64-H64))</f>
        <v>0</v>
      </c>
      <c r="J64" s="11">
        <f t="shared" si="7"/>
        <v>0</v>
      </c>
      <c r="K64" s="11">
        <f t="shared" si="8"/>
        <v>0</v>
      </c>
      <c r="L64" s="12" t="str">
        <f>IF(OR(A64&gt;Assumptions!$B$14,(G64+H64)=0),"",F64/(G64+H64))</f>
        <v/>
      </c>
      <c r="M64" s="10" t="str">
        <f>IF(A64&gt;Assumptions!$B$14,"Closed",IF(A64&lt;=Assumptions!$B$12,"Moratorium",IF(D64=0,"Closed (Repaid Early)",IF(OR(L64="",L64&gt;=Assumptions!$B$11-0.005),"PASS/OK","BREACH"))))</f>
        <v>Closed</v>
      </c>
    </row>
    <row r="65" spans="1:13" ht="15" customHeight="1" x14ac:dyDescent="0.25">
      <c r="A65" s="13">
        <v>58</v>
      </c>
      <c r="B65" s="13">
        <f t="shared" si="5"/>
        <v>15</v>
      </c>
      <c r="C65" s="13" t="str">
        <f>IF(A65&gt;Assumptions!$B$14,"Closed",IF(A65&lt;=Assumptions!$B$12,"Moratorium","Repayment"))</f>
        <v>Closed</v>
      </c>
      <c r="D65" s="14">
        <f t="shared" si="9"/>
        <v>0</v>
      </c>
      <c r="E65" s="14">
        <f>IF(B65&gt;25,0,INDEX(Assumptions!$B$22:$B$46,B65))</f>
        <v>60</v>
      </c>
      <c r="F65" s="14">
        <f t="shared" si="6"/>
        <v>15</v>
      </c>
      <c r="G65" s="35">
        <f>D65*Assumptions!$B$16</f>
        <v>0</v>
      </c>
      <c r="H65" s="33">
        <f>IF(OR(A65&lt;=Assumptions!$B$12,A65&gt;Assumptions!$B$14),0,MIN($K$19/(Assumptions!$B$14-$A$19),D65))</f>
        <v>0</v>
      </c>
      <c r="I65" s="36">
        <f>IF(A65&gt;Assumptions!$B$14,0,MIN(SUMPRODUCT((Assumptions!$B$53:$B$57=A65)*Assumptions!$C$53:$C$57)*Assumptions!$B$50,D65-H65))</f>
        <v>0</v>
      </c>
      <c r="J65" s="14">
        <f t="shared" si="7"/>
        <v>0</v>
      </c>
      <c r="K65" s="14">
        <f t="shared" si="8"/>
        <v>0</v>
      </c>
      <c r="L65" s="15" t="str">
        <f>IF(OR(A65&gt;Assumptions!$B$14,(G65+H65)=0),"",F65/(G65+H65))</f>
        <v/>
      </c>
      <c r="M65" s="13" t="str">
        <f>IF(A65&gt;Assumptions!$B$14,"Closed",IF(A65&lt;=Assumptions!$B$12,"Moratorium",IF(D65=0,"Closed (Repaid Early)",IF(OR(L65="",L65&gt;=Assumptions!$B$11-0.005),"PASS/OK","BREACH"))))</f>
        <v>Closed</v>
      </c>
    </row>
    <row r="66" spans="1:13" ht="15" customHeight="1" x14ac:dyDescent="0.25">
      <c r="A66" s="10">
        <v>59</v>
      </c>
      <c r="B66" s="10">
        <f t="shared" si="5"/>
        <v>15</v>
      </c>
      <c r="C66" s="10" t="str">
        <f>IF(A66&gt;Assumptions!$B$14,"Closed",IF(A66&lt;=Assumptions!$B$12,"Moratorium","Repayment"))</f>
        <v>Closed</v>
      </c>
      <c r="D66" s="11">
        <f t="shared" si="9"/>
        <v>0</v>
      </c>
      <c r="E66" s="11">
        <f>IF(B66&gt;25,0,INDEX(Assumptions!$B$22:$B$46,B66))</f>
        <v>60</v>
      </c>
      <c r="F66" s="11">
        <f t="shared" si="6"/>
        <v>15</v>
      </c>
      <c r="G66" s="32">
        <f>D66*Assumptions!$B$16</f>
        <v>0</v>
      </c>
      <c r="H66" s="33">
        <f>IF(OR(A66&lt;=Assumptions!$B$12,A66&gt;Assumptions!$B$14),0,MIN($K$19/(Assumptions!$B$14-$A$19),D66))</f>
        <v>0</v>
      </c>
      <c r="I66" s="34">
        <f>IF(A66&gt;Assumptions!$B$14,0,MIN(SUMPRODUCT((Assumptions!$B$53:$B$57=A66)*Assumptions!$C$53:$C$57)*Assumptions!$B$50,D66-H66))</f>
        <v>0</v>
      </c>
      <c r="J66" s="11">
        <f t="shared" si="7"/>
        <v>0</v>
      </c>
      <c r="K66" s="11">
        <f t="shared" si="8"/>
        <v>0</v>
      </c>
      <c r="L66" s="12" t="str">
        <f>IF(OR(A66&gt;Assumptions!$B$14,(G66+H66)=0),"",F66/(G66+H66))</f>
        <v/>
      </c>
      <c r="M66" s="10" t="str">
        <f>IF(A66&gt;Assumptions!$B$14,"Closed",IF(A66&lt;=Assumptions!$B$12,"Moratorium",IF(D66=0,"Closed (Repaid Early)",IF(OR(L66="",L66&gt;=Assumptions!$B$11-0.005),"PASS/OK","BREACH"))))</f>
        <v>Closed</v>
      </c>
    </row>
    <row r="67" spans="1:13" ht="15" customHeight="1" x14ac:dyDescent="0.25">
      <c r="A67" s="13">
        <v>60</v>
      </c>
      <c r="B67" s="13">
        <f t="shared" si="5"/>
        <v>15</v>
      </c>
      <c r="C67" s="13" t="str">
        <f>IF(A67&gt;Assumptions!$B$14,"Closed",IF(A67&lt;=Assumptions!$B$12,"Moratorium","Repayment"))</f>
        <v>Closed</v>
      </c>
      <c r="D67" s="14">
        <f t="shared" si="9"/>
        <v>0</v>
      </c>
      <c r="E67" s="14">
        <f>IF(B67&gt;25,0,INDEX(Assumptions!$B$22:$B$46,B67))</f>
        <v>60</v>
      </c>
      <c r="F67" s="14">
        <f t="shared" si="6"/>
        <v>15</v>
      </c>
      <c r="G67" s="35">
        <f>D67*Assumptions!$B$16</f>
        <v>0</v>
      </c>
      <c r="H67" s="33">
        <f>IF(OR(A67&lt;=Assumptions!$B$12,A67&gt;Assumptions!$B$14),0,MIN($K$19/(Assumptions!$B$14-$A$19),D67))</f>
        <v>0</v>
      </c>
      <c r="I67" s="36">
        <f>IF(A67&gt;Assumptions!$B$14,0,MIN(SUMPRODUCT((Assumptions!$B$53:$B$57=A67)*Assumptions!$C$53:$C$57)*Assumptions!$B$50,D67-H67))</f>
        <v>0</v>
      </c>
      <c r="J67" s="14">
        <f t="shared" si="7"/>
        <v>0</v>
      </c>
      <c r="K67" s="14">
        <f t="shared" si="8"/>
        <v>0</v>
      </c>
      <c r="L67" s="15" t="str">
        <f>IF(OR(A67&gt;Assumptions!$B$14,(G67+H67)=0),"",F67/(G67+H67))</f>
        <v/>
      </c>
      <c r="M67" s="13" t="str">
        <f>IF(A67&gt;Assumptions!$B$14,"Closed",IF(A67&lt;=Assumptions!$B$12,"Moratorium",IF(D67=0,"Closed (Repaid Early)",IF(OR(L67="",L67&gt;=Assumptions!$B$11-0.005),"PASS/OK","BREACH"))))</f>
        <v>Closed</v>
      </c>
    </row>
    <row r="68" spans="1:13" ht="15" customHeight="1" x14ac:dyDescent="0.25">
      <c r="A68" s="10">
        <v>61</v>
      </c>
      <c r="B68" s="10">
        <f t="shared" si="5"/>
        <v>16</v>
      </c>
      <c r="C68" s="10" t="str">
        <f>IF(A68&gt;Assumptions!$B$14,"Closed",IF(A68&lt;=Assumptions!$B$12,"Moratorium","Repayment"))</f>
        <v>Closed</v>
      </c>
      <c r="D68" s="11">
        <f t="shared" si="9"/>
        <v>0</v>
      </c>
      <c r="E68" s="11">
        <f>IF(B68&gt;25,0,INDEX(Assumptions!$B$22:$B$46,B68))</f>
        <v>0</v>
      </c>
      <c r="F68" s="11">
        <f t="shared" si="6"/>
        <v>0</v>
      </c>
      <c r="G68" s="32">
        <f>D68*Assumptions!$B$16</f>
        <v>0</v>
      </c>
      <c r="H68" s="33">
        <f>IF(OR(A68&lt;=Assumptions!$B$12,A68&gt;Assumptions!$B$14),0,MIN($K$19/(Assumptions!$B$14-$A$19),D68))</f>
        <v>0</v>
      </c>
      <c r="I68" s="34">
        <f>IF(A68&gt;Assumptions!$B$14,0,MIN(SUMPRODUCT((Assumptions!$B$53:$B$57=A68)*Assumptions!$C$53:$C$57)*Assumptions!$B$50,D68-H68))</f>
        <v>0</v>
      </c>
      <c r="J68" s="11">
        <f t="shared" si="7"/>
        <v>0</v>
      </c>
      <c r="K68" s="11">
        <f t="shared" si="8"/>
        <v>0</v>
      </c>
      <c r="L68" s="12" t="str">
        <f>IF(OR(A68&gt;Assumptions!$B$14,(G68+H68)=0),"",F68/(G68+H68))</f>
        <v/>
      </c>
      <c r="M68" s="10" t="str">
        <f>IF(A68&gt;Assumptions!$B$14,"Closed",IF(A68&lt;=Assumptions!$B$12,"Moratorium",IF(D68=0,"Closed (Repaid Early)",IF(OR(L68="",L68&gt;=Assumptions!$B$11-0.005),"PASS/OK","BREACH"))))</f>
        <v>Closed</v>
      </c>
    </row>
    <row r="69" spans="1:13" ht="15" customHeight="1" x14ac:dyDescent="0.25">
      <c r="A69" s="13">
        <v>62</v>
      </c>
      <c r="B69" s="13">
        <f t="shared" si="5"/>
        <v>16</v>
      </c>
      <c r="C69" s="13" t="str">
        <f>IF(A69&gt;Assumptions!$B$14,"Closed",IF(A69&lt;=Assumptions!$B$12,"Moratorium","Repayment"))</f>
        <v>Closed</v>
      </c>
      <c r="D69" s="14">
        <f t="shared" si="9"/>
        <v>0</v>
      </c>
      <c r="E69" s="14">
        <f>IF(B69&gt;25,0,INDEX(Assumptions!$B$22:$B$46,B69))</f>
        <v>0</v>
      </c>
      <c r="F69" s="14">
        <f t="shared" si="6"/>
        <v>0</v>
      </c>
      <c r="G69" s="35">
        <f>D69*Assumptions!$B$16</f>
        <v>0</v>
      </c>
      <c r="H69" s="33">
        <f>IF(OR(A69&lt;=Assumptions!$B$12,A69&gt;Assumptions!$B$14),0,MIN($K$19/(Assumptions!$B$14-$A$19),D69))</f>
        <v>0</v>
      </c>
      <c r="I69" s="36">
        <f>IF(A69&gt;Assumptions!$B$14,0,MIN(SUMPRODUCT((Assumptions!$B$53:$B$57=A69)*Assumptions!$C$53:$C$57)*Assumptions!$B$50,D69-H69))</f>
        <v>0</v>
      </c>
      <c r="J69" s="14">
        <f t="shared" si="7"/>
        <v>0</v>
      </c>
      <c r="K69" s="14">
        <f t="shared" si="8"/>
        <v>0</v>
      </c>
      <c r="L69" s="15" t="str">
        <f>IF(OR(A69&gt;Assumptions!$B$14,(G69+H69)=0),"",F69/(G69+H69))</f>
        <v/>
      </c>
      <c r="M69" s="13" t="str">
        <f>IF(A69&gt;Assumptions!$B$14,"Closed",IF(A69&lt;=Assumptions!$B$12,"Moratorium",IF(D69=0,"Closed (Repaid Early)",IF(OR(L69="",L69&gt;=Assumptions!$B$11-0.005),"PASS/OK","BREACH"))))</f>
        <v>Closed</v>
      </c>
    </row>
    <row r="70" spans="1:13" ht="15" customHeight="1" x14ac:dyDescent="0.25">
      <c r="A70" s="10">
        <v>63</v>
      </c>
      <c r="B70" s="10">
        <f t="shared" si="5"/>
        <v>16</v>
      </c>
      <c r="C70" s="10" t="str">
        <f>IF(A70&gt;Assumptions!$B$14,"Closed",IF(A70&lt;=Assumptions!$B$12,"Moratorium","Repayment"))</f>
        <v>Closed</v>
      </c>
      <c r="D70" s="11">
        <f t="shared" si="9"/>
        <v>0</v>
      </c>
      <c r="E70" s="11">
        <f>IF(B70&gt;25,0,INDEX(Assumptions!$B$22:$B$46,B70))</f>
        <v>0</v>
      </c>
      <c r="F70" s="11">
        <f t="shared" si="6"/>
        <v>0</v>
      </c>
      <c r="G70" s="32">
        <f>D70*Assumptions!$B$16</f>
        <v>0</v>
      </c>
      <c r="H70" s="33">
        <f>IF(OR(A70&lt;=Assumptions!$B$12,A70&gt;Assumptions!$B$14),0,MIN($K$19/(Assumptions!$B$14-$A$19),D70))</f>
        <v>0</v>
      </c>
      <c r="I70" s="34">
        <f>IF(A70&gt;Assumptions!$B$14,0,MIN(SUMPRODUCT((Assumptions!$B$53:$B$57=A70)*Assumptions!$C$53:$C$57)*Assumptions!$B$50,D70-H70))</f>
        <v>0</v>
      </c>
      <c r="J70" s="11">
        <f t="shared" si="7"/>
        <v>0</v>
      </c>
      <c r="K70" s="11">
        <f t="shared" si="8"/>
        <v>0</v>
      </c>
      <c r="L70" s="12" t="str">
        <f>IF(OR(A70&gt;Assumptions!$B$14,(G70+H70)=0),"",F70/(G70+H70))</f>
        <v/>
      </c>
      <c r="M70" s="10" t="str">
        <f>IF(A70&gt;Assumptions!$B$14,"Closed",IF(A70&lt;=Assumptions!$B$12,"Moratorium",IF(D70=0,"Closed (Repaid Early)",IF(OR(L70="",L70&gt;=Assumptions!$B$11-0.005),"PASS/OK","BREACH"))))</f>
        <v>Closed</v>
      </c>
    </row>
    <row r="71" spans="1:13" ht="15" customHeight="1" x14ac:dyDescent="0.25">
      <c r="A71" s="13">
        <v>64</v>
      </c>
      <c r="B71" s="13">
        <f t="shared" si="5"/>
        <v>16</v>
      </c>
      <c r="C71" s="13" t="str">
        <f>IF(A71&gt;Assumptions!$B$14,"Closed",IF(A71&lt;=Assumptions!$B$12,"Moratorium","Repayment"))</f>
        <v>Closed</v>
      </c>
      <c r="D71" s="14">
        <f t="shared" si="9"/>
        <v>0</v>
      </c>
      <c r="E71" s="14">
        <f>IF(B71&gt;25,0,INDEX(Assumptions!$B$22:$B$46,B71))</f>
        <v>0</v>
      </c>
      <c r="F71" s="14">
        <f t="shared" si="6"/>
        <v>0</v>
      </c>
      <c r="G71" s="35">
        <f>D71*Assumptions!$B$16</f>
        <v>0</v>
      </c>
      <c r="H71" s="33">
        <f>IF(OR(A71&lt;=Assumptions!$B$12,A71&gt;Assumptions!$B$14),0,MIN($K$19/(Assumptions!$B$14-$A$19),D71))</f>
        <v>0</v>
      </c>
      <c r="I71" s="36">
        <f>IF(A71&gt;Assumptions!$B$14,0,MIN(SUMPRODUCT((Assumptions!$B$53:$B$57=A71)*Assumptions!$C$53:$C$57)*Assumptions!$B$50,D71-H71))</f>
        <v>0</v>
      </c>
      <c r="J71" s="14">
        <f t="shared" si="7"/>
        <v>0</v>
      </c>
      <c r="K71" s="14">
        <f t="shared" si="8"/>
        <v>0</v>
      </c>
      <c r="L71" s="15" t="str">
        <f>IF(OR(A71&gt;Assumptions!$B$14,(G71+H71)=0),"",F71/(G71+H71))</f>
        <v/>
      </c>
      <c r="M71" s="13" t="str">
        <f>IF(A71&gt;Assumptions!$B$14,"Closed",IF(A71&lt;=Assumptions!$B$12,"Moratorium",IF(D71=0,"Closed (Repaid Early)",IF(OR(L71="",L71&gt;=Assumptions!$B$11-0.005),"PASS/OK","BREACH"))))</f>
        <v>Closed</v>
      </c>
    </row>
    <row r="72" spans="1:13" ht="15" customHeight="1" x14ac:dyDescent="0.25">
      <c r="A72" s="10">
        <v>65</v>
      </c>
      <c r="B72" s="10">
        <f t="shared" ref="B72:B103" si="10">ROUNDUP(A72/4,0)</f>
        <v>17</v>
      </c>
      <c r="C72" s="10" t="str">
        <f>IF(A72&gt;Assumptions!$B$14,"Closed",IF(A72&lt;=Assumptions!$B$12,"Moratorium","Repayment"))</f>
        <v>Closed</v>
      </c>
      <c r="D72" s="11">
        <f t="shared" si="9"/>
        <v>0</v>
      </c>
      <c r="E72" s="11">
        <f>IF(B72&gt;25,0,INDEX(Assumptions!$B$22:$B$46,B72))</f>
        <v>0</v>
      </c>
      <c r="F72" s="11">
        <f t="shared" ref="F72:F103" si="11">E72/4</f>
        <v>0</v>
      </c>
      <c r="G72" s="32">
        <f>D72*Assumptions!$B$16</f>
        <v>0</v>
      </c>
      <c r="H72" s="33">
        <f>IF(OR(A72&lt;=Assumptions!$B$12,A72&gt;Assumptions!$B$14),0,MIN($K$19/(Assumptions!$B$14-$A$19),D72))</f>
        <v>0</v>
      </c>
      <c r="I72" s="34">
        <f>IF(A72&gt;Assumptions!$B$14,0,MIN(SUMPRODUCT((Assumptions!$B$53:$B$57=A72)*Assumptions!$C$53:$C$57)*Assumptions!$B$50,D72-H72))</f>
        <v>0</v>
      </c>
      <c r="J72" s="11">
        <f t="shared" ref="J72:J103" si="12">H72+I72</f>
        <v>0</v>
      </c>
      <c r="K72" s="11">
        <f t="shared" ref="K72:K103" si="13">D72-J72</f>
        <v>0</v>
      </c>
      <c r="L72" s="12" t="str">
        <f>IF(OR(A72&gt;Assumptions!$B$14,(G72+H72)=0),"",F72/(G72+H72))</f>
        <v/>
      </c>
      <c r="M72" s="10" t="str">
        <f>IF(A72&gt;Assumptions!$B$14,"Closed",IF(A72&lt;=Assumptions!$B$12,"Moratorium",IF(D72=0,"Closed (Repaid Early)",IF(OR(L72="",L72&gt;=Assumptions!$B$11-0.005),"PASS/OK","BREACH"))))</f>
        <v>Closed</v>
      </c>
    </row>
    <row r="73" spans="1:13" ht="15" customHeight="1" x14ac:dyDescent="0.25">
      <c r="A73" s="13">
        <v>66</v>
      </c>
      <c r="B73" s="13">
        <f t="shared" si="10"/>
        <v>17</v>
      </c>
      <c r="C73" s="13" t="str">
        <f>IF(A73&gt;Assumptions!$B$14,"Closed",IF(A73&lt;=Assumptions!$B$12,"Moratorium","Repayment"))</f>
        <v>Closed</v>
      </c>
      <c r="D73" s="14">
        <f t="shared" ref="D73:D107" si="14">K72</f>
        <v>0</v>
      </c>
      <c r="E73" s="14">
        <f>IF(B73&gt;25,0,INDEX(Assumptions!$B$22:$B$46,B73))</f>
        <v>0</v>
      </c>
      <c r="F73" s="14">
        <f t="shared" si="11"/>
        <v>0</v>
      </c>
      <c r="G73" s="35">
        <f>D73*Assumptions!$B$16</f>
        <v>0</v>
      </c>
      <c r="H73" s="33">
        <f>IF(OR(A73&lt;=Assumptions!$B$12,A73&gt;Assumptions!$B$14),0,MIN($K$19/(Assumptions!$B$14-$A$19),D73))</f>
        <v>0</v>
      </c>
      <c r="I73" s="36">
        <f>IF(A73&gt;Assumptions!$B$14,0,MIN(SUMPRODUCT((Assumptions!$B$53:$B$57=A73)*Assumptions!$C$53:$C$57)*Assumptions!$B$50,D73-H73))</f>
        <v>0</v>
      </c>
      <c r="J73" s="14">
        <f t="shared" si="12"/>
        <v>0</v>
      </c>
      <c r="K73" s="14">
        <f t="shared" si="13"/>
        <v>0</v>
      </c>
      <c r="L73" s="15" t="str">
        <f>IF(OR(A73&gt;Assumptions!$B$14,(G73+H73)=0),"",F73/(G73+H73))</f>
        <v/>
      </c>
      <c r="M73" s="13" t="str">
        <f>IF(A73&gt;Assumptions!$B$14,"Closed",IF(A73&lt;=Assumptions!$B$12,"Moratorium",IF(D73=0,"Closed (Repaid Early)",IF(OR(L73="",L73&gt;=Assumptions!$B$11-0.005),"PASS/OK","BREACH"))))</f>
        <v>Closed</v>
      </c>
    </row>
    <row r="74" spans="1:13" ht="15" customHeight="1" x14ac:dyDescent="0.25">
      <c r="A74" s="10">
        <v>67</v>
      </c>
      <c r="B74" s="10">
        <f t="shared" si="10"/>
        <v>17</v>
      </c>
      <c r="C74" s="10" t="str">
        <f>IF(A74&gt;Assumptions!$B$14,"Closed",IF(A74&lt;=Assumptions!$B$12,"Moratorium","Repayment"))</f>
        <v>Closed</v>
      </c>
      <c r="D74" s="11">
        <f t="shared" si="14"/>
        <v>0</v>
      </c>
      <c r="E74" s="11">
        <f>IF(B74&gt;25,0,INDEX(Assumptions!$B$22:$B$46,B74))</f>
        <v>0</v>
      </c>
      <c r="F74" s="11">
        <f t="shared" si="11"/>
        <v>0</v>
      </c>
      <c r="G74" s="32">
        <f>D74*Assumptions!$B$16</f>
        <v>0</v>
      </c>
      <c r="H74" s="33">
        <f>IF(OR(A74&lt;=Assumptions!$B$12,A74&gt;Assumptions!$B$14),0,MIN($K$19/(Assumptions!$B$14-$A$19),D74))</f>
        <v>0</v>
      </c>
      <c r="I74" s="34">
        <f>IF(A74&gt;Assumptions!$B$14,0,MIN(SUMPRODUCT((Assumptions!$B$53:$B$57=A74)*Assumptions!$C$53:$C$57)*Assumptions!$B$50,D74-H74))</f>
        <v>0</v>
      </c>
      <c r="J74" s="11">
        <f t="shared" si="12"/>
        <v>0</v>
      </c>
      <c r="K74" s="11">
        <f t="shared" si="13"/>
        <v>0</v>
      </c>
      <c r="L74" s="12" t="str">
        <f>IF(OR(A74&gt;Assumptions!$B$14,(G74+H74)=0),"",F74/(G74+H74))</f>
        <v/>
      </c>
      <c r="M74" s="10" t="str">
        <f>IF(A74&gt;Assumptions!$B$14,"Closed",IF(A74&lt;=Assumptions!$B$12,"Moratorium",IF(D74=0,"Closed (Repaid Early)",IF(OR(L74="",L74&gt;=Assumptions!$B$11-0.005),"PASS/OK","BREACH"))))</f>
        <v>Closed</v>
      </c>
    </row>
    <row r="75" spans="1:13" ht="15" customHeight="1" x14ac:dyDescent="0.25">
      <c r="A75" s="13">
        <v>68</v>
      </c>
      <c r="B75" s="13">
        <f t="shared" si="10"/>
        <v>17</v>
      </c>
      <c r="C75" s="13" t="str">
        <f>IF(A75&gt;Assumptions!$B$14,"Closed",IF(A75&lt;=Assumptions!$B$12,"Moratorium","Repayment"))</f>
        <v>Closed</v>
      </c>
      <c r="D75" s="14">
        <f t="shared" si="14"/>
        <v>0</v>
      </c>
      <c r="E75" s="14">
        <f>IF(B75&gt;25,0,INDEX(Assumptions!$B$22:$B$46,B75))</f>
        <v>0</v>
      </c>
      <c r="F75" s="14">
        <f t="shared" si="11"/>
        <v>0</v>
      </c>
      <c r="G75" s="35">
        <f>D75*Assumptions!$B$16</f>
        <v>0</v>
      </c>
      <c r="H75" s="33">
        <f>IF(OR(A75&lt;=Assumptions!$B$12,A75&gt;Assumptions!$B$14),0,MIN($K$19/(Assumptions!$B$14-$A$19),D75))</f>
        <v>0</v>
      </c>
      <c r="I75" s="36">
        <f>IF(A75&gt;Assumptions!$B$14,0,MIN(SUMPRODUCT((Assumptions!$B$53:$B$57=A75)*Assumptions!$C$53:$C$57)*Assumptions!$B$50,D75-H75))</f>
        <v>0</v>
      </c>
      <c r="J75" s="14">
        <f t="shared" si="12"/>
        <v>0</v>
      </c>
      <c r="K75" s="14">
        <f t="shared" si="13"/>
        <v>0</v>
      </c>
      <c r="L75" s="15" t="str">
        <f>IF(OR(A75&gt;Assumptions!$B$14,(G75+H75)=0),"",F75/(G75+H75))</f>
        <v/>
      </c>
      <c r="M75" s="13" t="str">
        <f>IF(A75&gt;Assumptions!$B$14,"Closed",IF(A75&lt;=Assumptions!$B$12,"Moratorium",IF(D75=0,"Closed (Repaid Early)",IF(OR(L75="",L75&gt;=Assumptions!$B$11-0.005),"PASS/OK","BREACH"))))</f>
        <v>Closed</v>
      </c>
    </row>
    <row r="76" spans="1:13" ht="15" customHeight="1" x14ac:dyDescent="0.25">
      <c r="A76" s="10">
        <v>69</v>
      </c>
      <c r="B76" s="10">
        <f t="shared" si="10"/>
        <v>18</v>
      </c>
      <c r="C76" s="10" t="str">
        <f>IF(A76&gt;Assumptions!$B$14,"Closed",IF(A76&lt;=Assumptions!$B$12,"Moratorium","Repayment"))</f>
        <v>Closed</v>
      </c>
      <c r="D76" s="11">
        <f t="shared" si="14"/>
        <v>0</v>
      </c>
      <c r="E76" s="11">
        <f>IF(B76&gt;25,0,INDEX(Assumptions!$B$22:$B$46,B76))</f>
        <v>0</v>
      </c>
      <c r="F76" s="11">
        <f t="shared" si="11"/>
        <v>0</v>
      </c>
      <c r="G76" s="32">
        <f>D76*Assumptions!$B$16</f>
        <v>0</v>
      </c>
      <c r="H76" s="33">
        <f>IF(OR(A76&lt;=Assumptions!$B$12,A76&gt;Assumptions!$B$14),0,MIN($K$19/(Assumptions!$B$14-$A$19),D76))</f>
        <v>0</v>
      </c>
      <c r="I76" s="34">
        <f>IF(A76&gt;Assumptions!$B$14,0,MIN(SUMPRODUCT((Assumptions!$B$53:$B$57=A76)*Assumptions!$C$53:$C$57)*Assumptions!$B$50,D76-H76))</f>
        <v>0</v>
      </c>
      <c r="J76" s="11">
        <f t="shared" si="12"/>
        <v>0</v>
      </c>
      <c r="K76" s="11">
        <f t="shared" si="13"/>
        <v>0</v>
      </c>
      <c r="L76" s="12" t="str">
        <f>IF(OR(A76&gt;Assumptions!$B$14,(G76+H76)=0),"",F76/(G76+H76))</f>
        <v/>
      </c>
      <c r="M76" s="10" t="str">
        <f>IF(A76&gt;Assumptions!$B$14,"Closed",IF(A76&lt;=Assumptions!$B$12,"Moratorium",IF(D76=0,"Closed (Repaid Early)",IF(OR(L76="",L76&gt;=Assumptions!$B$11-0.005),"PASS/OK","BREACH"))))</f>
        <v>Closed</v>
      </c>
    </row>
    <row r="77" spans="1:13" ht="15" customHeight="1" x14ac:dyDescent="0.25">
      <c r="A77" s="13">
        <v>70</v>
      </c>
      <c r="B77" s="13">
        <f t="shared" si="10"/>
        <v>18</v>
      </c>
      <c r="C77" s="13" t="str">
        <f>IF(A77&gt;Assumptions!$B$14,"Closed",IF(A77&lt;=Assumptions!$B$12,"Moratorium","Repayment"))</f>
        <v>Closed</v>
      </c>
      <c r="D77" s="14">
        <f t="shared" si="14"/>
        <v>0</v>
      </c>
      <c r="E77" s="14">
        <f>IF(B77&gt;25,0,INDEX(Assumptions!$B$22:$B$46,B77))</f>
        <v>0</v>
      </c>
      <c r="F77" s="14">
        <f t="shared" si="11"/>
        <v>0</v>
      </c>
      <c r="G77" s="35">
        <f>D77*Assumptions!$B$16</f>
        <v>0</v>
      </c>
      <c r="H77" s="33">
        <f>IF(OR(A77&lt;=Assumptions!$B$12,A77&gt;Assumptions!$B$14),0,MIN($K$19/(Assumptions!$B$14-$A$19),D77))</f>
        <v>0</v>
      </c>
      <c r="I77" s="36">
        <f>IF(A77&gt;Assumptions!$B$14,0,MIN(SUMPRODUCT((Assumptions!$B$53:$B$57=A77)*Assumptions!$C$53:$C$57)*Assumptions!$B$50,D77-H77))</f>
        <v>0</v>
      </c>
      <c r="J77" s="14">
        <f t="shared" si="12"/>
        <v>0</v>
      </c>
      <c r="K77" s="14">
        <f t="shared" si="13"/>
        <v>0</v>
      </c>
      <c r="L77" s="15" t="str">
        <f>IF(OR(A77&gt;Assumptions!$B$14,(G77+H77)=0),"",F77/(G77+H77))</f>
        <v/>
      </c>
      <c r="M77" s="13" t="str">
        <f>IF(A77&gt;Assumptions!$B$14,"Closed",IF(A77&lt;=Assumptions!$B$12,"Moratorium",IF(D77=0,"Closed (Repaid Early)",IF(OR(L77="",L77&gt;=Assumptions!$B$11-0.005),"PASS/OK","BREACH"))))</f>
        <v>Closed</v>
      </c>
    </row>
    <row r="78" spans="1:13" ht="15" customHeight="1" x14ac:dyDescent="0.25">
      <c r="A78" s="10">
        <v>71</v>
      </c>
      <c r="B78" s="10">
        <f t="shared" si="10"/>
        <v>18</v>
      </c>
      <c r="C78" s="10" t="str">
        <f>IF(A78&gt;Assumptions!$B$14,"Closed",IF(A78&lt;=Assumptions!$B$12,"Moratorium","Repayment"))</f>
        <v>Closed</v>
      </c>
      <c r="D78" s="11">
        <f t="shared" si="14"/>
        <v>0</v>
      </c>
      <c r="E78" s="11">
        <f>IF(B78&gt;25,0,INDEX(Assumptions!$B$22:$B$46,B78))</f>
        <v>0</v>
      </c>
      <c r="F78" s="11">
        <f t="shared" si="11"/>
        <v>0</v>
      </c>
      <c r="G78" s="32">
        <f>D78*Assumptions!$B$16</f>
        <v>0</v>
      </c>
      <c r="H78" s="33">
        <f>IF(OR(A78&lt;=Assumptions!$B$12,A78&gt;Assumptions!$B$14),0,MIN($K$19/(Assumptions!$B$14-$A$19),D78))</f>
        <v>0</v>
      </c>
      <c r="I78" s="34">
        <f>IF(A78&gt;Assumptions!$B$14,0,MIN(SUMPRODUCT((Assumptions!$B$53:$B$57=A78)*Assumptions!$C$53:$C$57)*Assumptions!$B$50,D78-H78))</f>
        <v>0</v>
      </c>
      <c r="J78" s="11">
        <f t="shared" si="12"/>
        <v>0</v>
      </c>
      <c r="K78" s="11">
        <f t="shared" si="13"/>
        <v>0</v>
      </c>
      <c r="L78" s="12" t="str">
        <f>IF(OR(A78&gt;Assumptions!$B$14,(G78+H78)=0),"",F78/(G78+H78))</f>
        <v/>
      </c>
      <c r="M78" s="10" t="str">
        <f>IF(A78&gt;Assumptions!$B$14,"Closed",IF(A78&lt;=Assumptions!$B$12,"Moratorium",IF(D78=0,"Closed (Repaid Early)",IF(OR(L78="",L78&gt;=Assumptions!$B$11-0.005),"PASS/OK","BREACH"))))</f>
        <v>Closed</v>
      </c>
    </row>
    <row r="79" spans="1:13" ht="15" customHeight="1" x14ac:dyDescent="0.25">
      <c r="A79" s="13">
        <v>72</v>
      </c>
      <c r="B79" s="13">
        <f t="shared" si="10"/>
        <v>18</v>
      </c>
      <c r="C79" s="13" t="str">
        <f>IF(A79&gt;Assumptions!$B$14,"Closed",IF(A79&lt;=Assumptions!$B$12,"Moratorium","Repayment"))</f>
        <v>Closed</v>
      </c>
      <c r="D79" s="14">
        <f t="shared" si="14"/>
        <v>0</v>
      </c>
      <c r="E79" s="14">
        <f>IF(B79&gt;25,0,INDEX(Assumptions!$B$22:$B$46,B79))</f>
        <v>0</v>
      </c>
      <c r="F79" s="14">
        <f t="shared" si="11"/>
        <v>0</v>
      </c>
      <c r="G79" s="35">
        <f>D79*Assumptions!$B$16</f>
        <v>0</v>
      </c>
      <c r="H79" s="33">
        <f>IF(OR(A79&lt;=Assumptions!$B$12,A79&gt;Assumptions!$B$14),0,MIN($K$19/(Assumptions!$B$14-$A$19),D79))</f>
        <v>0</v>
      </c>
      <c r="I79" s="36">
        <f>IF(A79&gt;Assumptions!$B$14,0,MIN(SUMPRODUCT((Assumptions!$B$53:$B$57=A79)*Assumptions!$C$53:$C$57)*Assumptions!$B$50,D79-H79))</f>
        <v>0</v>
      </c>
      <c r="J79" s="14">
        <f t="shared" si="12"/>
        <v>0</v>
      </c>
      <c r="K79" s="14">
        <f t="shared" si="13"/>
        <v>0</v>
      </c>
      <c r="L79" s="15" t="str">
        <f>IF(OR(A79&gt;Assumptions!$B$14,(G79+H79)=0),"",F79/(G79+H79))</f>
        <v/>
      </c>
      <c r="M79" s="13" t="str">
        <f>IF(A79&gt;Assumptions!$B$14,"Closed",IF(A79&lt;=Assumptions!$B$12,"Moratorium",IF(D79=0,"Closed (Repaid Early)",IF(OR(L79="",L79&gt;=Assumptions!$B$11-0.005),"PASS/OK","BREACH"))))</f>
        <v>Closed</v>
      </c>
    </row>
    <row r="80" spans="1:13" ht="15" customHeight="1" x14ac:dyDescent="0.25">
      <c r="A80" s="10">
        <v>73</v>
      </c>
      <c r="B80" s="10">
        <f t="shared" si="10"/>
        <v>19</v>
      </c>
      <c r="C80" s="10" t="str">
        <f>IF(A80&gt;Assumptions!$B$14,"Closed",IF(A80&lt;=Assumptions!$B$12,"Moratorium","Repayment"))</f>
        <v>Closed</v>
      </c>
      <c r="D80" s="11">
        <f t="shared" si="14"/>
        <v>0</v>
      </c>
      <c r="E80" s="11">
        <f>IF(B80&gt;25,0,INDEX(Assumptions!$B$22:$B$46,B80))</f>
        <v>0</v>
      </c>
      <c r="F80" s="11">
        <f t="shared" si="11"/>
        <v>0</v>
      </c>
      <c r="G80" s="32">
        <f>D80*Assumptions!$B$16</f>
        <v>0</v>
      </c>
      <c r="H80" s="33">
        <f>IF(OR(A80&lt;=Assumptions!$B$12,A80&gt;Assumptions!$B$14),0,MIN($K$19/(Assumptions!$B$14-$A$19),D80))</f>
        <v>0</v>
      </c>
      <c r="I80" s="34">
        <f>IF(A80&gt;Assumptions!$B$14,0,MIN(SUMPRODUCT((Assumptions!$B$53:$B$57=A80)*Assumptions!$C$53:$C$57)*Assumptions!$B$50,D80-H80))</f>
        <v>0</v>
      </c>
      <c r="J80" s="11">
        <f t="shared" si="12"/>
        <v>0</v>
      </c>
      <c r="K80" s="11">
        <f t="shared" si="13"/>
        <v>0</v>
      </c>
      <c r="L80" s="12" t="str">
        <f>IF(OR(A80&gt;Assumptions!$B$14,(G80+H80)=0),"",F80/(G80+H80))</f>
        <v/>
      </c>
      <c r="M80" s="10" t="str">
        <f>IF(A80&gt;Assumptions!$B$14,"Closed",IF(A80&lt;=Assumptions!$B$12,"Moratorium",IF(D80=0,"Closed (Repaid Early)",IF(OR(L80="",L80&gt;=Assumptions!$B$11-0.005),"PASS/OK","BREACH"))))</f>
        <v>Closed</v>
      </c>
    </row>
    <row r="81" spans="1:13" ht="15" customHeight="1" x14ac:dyDescent="0.25">
      <c r="A81" s="13">
        <v>74</v>
      </c>
      <c r="B81" s="13">
        <f t="shared" si="10"/>
        <v>19</v>
      </c>
      <c r="C81" s="13" t="str">
        <f>IF(A81&gt;Assumptions!$B$14,"Closed",IF(A81&lt;=Assumptions!$B$12,"Moratorium","Repayment"))</f>
        <v>Closed</v>
      </c>
      <c r="D81" s="14">
        <f t="shared" si="14"/>
        <v>0</v>
      </c>
      <c r="E81" s="14">
        <f>IF(B81&gt;25,0,INDEX(Assumptions!$B$22:$B$46,B81))</f>
        <v>0</v>
      </c>
      <c r="F81" s="14">
        <f t="shared" si="11"/>
        <v>0</v>
      </c>
      <c r="G81" s="35">
        <f>D81*Assumptions!$B$16</f>
        <v>0</v>
      </c>
      <c r="H81" s="33">
        <f>IF(OR(A81&lt;=Assumptions!$B$12,A81&gt;Assumptions!$B$14),0,MIN($K$19/(Assumptions!$B$14-$A$19),D81))</f>
        <v>0</v>
      </c>
      <c r="I81" s="36">
        <f>IF(A81&gt;Assumptions!$B$14,0,MIN(SUMPRODUCT((Assumptions!$B$53:$B$57=A81)*Assumptions!$C$53:$C$57)*Assumptions!$B$50,D81-H81))</f>
        <v>0</v>
      </c>
      <c r="J81" s="14">
        <f t="shared" si="12"/>
        <v>0</v>
      </c>
      <c r="K81" s="14">
        <f t="shared" si="13"/>
        <v>0</v>
      </c>
      <c r="L81" s="15" t="str">
        <f>IF(OR(A81&gt;Assumptions!$B$14,(G81+H81)=0),"",F81/(G81+H81))</f>
        <v/>
      </c>
      <c r="M81" s="13" t="str">
        <f>IF(A81&gt;Assumptions!$B$14,"Closed",IF(A81&lt;=Assumptions!$B$12,"Moratorium",IF(D81=0,"Closed (Repaid Early)",IF(OR(L81="",L81&gt;=Assumptions!$B$11-0.005),"PASS/OK","BREACH"))))</f>
        <v>Closed</v>
      </c>
    </row>
    <row r="82" spans="1:13" ht="15" customHeight="1" x14ac:dyDescent="0.25">
      <c r="A82" s="10">
        <v>75</v>
      </c>
      <c r="B82" s="10">
        <f t="shared" si="10"/>
        <v>19</v>
      </c>
      <c r="C82" s="10" t="str">
        <f>IF(A82&gt;Assumptions!$B$14,"Closed",IF(A82&lt;=Assumptions!$B$12,"Moratorium","Repayment"))</f>
        <v>Closed</v>
      </c>
      <c r="D82" s="11">
        <f t="shared" si="14"/>
        <v>0</v>
      </c>
      <c r="E82" s="11">
        <f>IF(B82&gt;25,0,INDEX(Assumptions!$B$22:$B$46,B82))</f>
        <v>0</v>
      </c>
      <c r="F82" s="11">
        <f t="shared" si="11"/>
        <v>0</v>
      </c>
      <c r="G82" s="32">
        <f>D82*Assumptions!$B$16</f>
        <v>0</v>
      </c>
      <c r="H82" s="33">
        <f>IF(OR(A82&lt;=Assumptions!$B$12,A82&gt;Assumptions!$B$14),0,MIN($K$19/(Assumptions!$B$14-$A$19),D82))</f>
        <v>0</v>
      </c>
      <c r="I82" s="34">
        <f>IF(A82&gt;Assumptions!$B$14,0,MIN(SUMPRODUCT((Assumptions!$B$53:$B$57=A82)*Assumptions!$C$53:$C$57)*Assumptions!$B$50,D82-H82))</f>
        <v>0</v>
      </c>
      <c r="J82" s="11">
        <f t="shared" si="12"/>
        <v>0</v>
      </c>
      <c r="K82" s="11">
        <f t="shared" si="13"/>
        <v>0</v>
      </c>
      <c r="L82" s="12" t="str">
        <f>IF(OR(A82&gt;Assumptions!$B$14,(G82+H82)=0),"",F82/(G82+H82))</f>
        <v/>
      </c>
      <c r="M82" s="10" t="str">
        <f>IF(A82&gt;Assumptions!$B$14,"Closed",IF(A82&lt;=Assumptions!$B$12,"Moratorium",IF(D82=0,"Closed (Repaid Early)",IF(OR(L82="",L82&gt;=Assumptions!$B$11-0.005),"PASS/OK","BREACH"))))</f>
        <v>Closed</v>
      </c>
    </row>
    <row r="83" spans="1:13" ht="15" customHeight="1" x14ac:dyDescent="0.25">
      <c r="A83" s="13">
        <v>76</v>
      </c>
      <c r="B83" s="13">
        <f t="shared" si="10"/>
        <v>19</v>
      </c>
      <c r="C83" s="13" t="str">
        <f>IF(A83&gt;Assumptions!$B$14,"Closed",IF(A83&lt;=Assumptions!$B$12,"Moratorium","Repayment"))</f>
        <v>Closed</v>
      </c>
      <c r="D83" s="14">
        <f t="shared" si="14"/>
        <v>0</v>
      </c>
      <c r="E83" s="14">
        <f>IF(B83&gt;25,0,INDEX(Assumptions!$B$22:$B$46,B83))</f>
        <v>0</v>
      </c>
      <c r="F83" s="14">
        <f t="shared" si="11"/>
        <v>0</v>
      </c>
      <c r="G83" s="35">
        <f>D83*Assumptions!$B$16</f>
        <v>0</v>
      </c>
      <c r="H83" s="33">
        <f>IF(OR(A83&lt;=Assumptions!$B$12,A83&gt;Assumptions!$B$14),0,MIN($K$19/(Assumptions!$B$14-$A$19),D83))</f>
        <v>0</v>
      </c>
      <c r="I83" s="36">
        <f>IF(A83&gt;Assumptions!$B$14,0,MIN(SUMPRODUCT((Assumptions!$B$53:$B$57=A83)*Assumptions!$C$53:$C$57)*Assumptions!$B$50,D83-H83))</f>
        <v>0</v>
      </c>
      <c r="J83" s="14">
        <f t="shared" si="12"/>
        <v>0</v>
      </c>
      <c r="K83" s="14">
        <f t="shared" si="13"/>
        <v>0</v>
      </c>
      <c r="L83" s="15" t="str">
        <f>IF(OR(A83&gt;Assumptions!$B$14,(G83+H83)=0),"",F83/(G83+H83))</f>
        <v/>
      </c>
      <c r="M83" s="13" t="str">
        <f>IF(A83&gt;Assumptions!$B$14,"Closed",IF(A83&lt;=Assumptions!$B$12,"Moratorium",IF(D83=0,"Closed (Repaid Early)",IF(OR(L83="",L83&gt;=Assumptions!$B$11-0.005),"PASS/OK","BREACH"))))</f>
        <v>Closed</v>
      </c>
    </row>
    <row r="84" spans="1:13" ht="15" customHeight="1" x14ac:dyDescent="0.25">
      <c r="A84" s="10">
        <v>77</v>
      </c>
      <c r="B84" s="10">
        <f t="shared" si="10"/>
        <v>20</v>
      </c>
      <c r="C84" s="10" t="str">
        <f>IF(A84&gt;Assumptions!$B$14,"Closed",IF(A84&lt;=Assumptions!$B$12,"Moratorium","Repayment"))</f>
        <v>Closed</v>
      </c>
      <c r="D84" s="11">
        <f t="shared" si="14"/>
        <v>0</v>
      </c>
      <c r="E84" s="11">
        <f>IF(B84&gt;25,0,INDEX(Assumptions!$B$22:$B$46,B84))</f>
        <v>0</v>
      </c>
      <c r="F84" s="11">
        <f t="shared" si="11"/>
        <v>0</v>
      </c>
      <c r="G84" s="32">
        <f>D84*Assumptions!$B$16</f>
        <v>0</v>
      </c>
      <c r="H84" s="33">
        <f>IF(OR(A84&lt;=Assumptions!$B$12,A84&gt;Assumptions!$B$14),0,MIN($K$19/(Assumptions!$B$14-$A$19),D84))</f>
        <v>0</v>
      </c>
      <c r="I84" s="34">
        <f>IF(A84&gt;Assumptions!$B$14,0,MIN(SUMPRODUCT((Assumptions!$B$53:$B$57=A84)*Assumptions!$C$53:$C$57)*Assumptions!$B$50,D84-H84))</f>
        <v>0</v>
      </c>
      <c r="J84" s="11">
        <f t="shared" si="12"/>
        <v>0</v>
      </c>
      <c r="K84" s="11">
        <f t="shared" si="13"/>
        <v>0</v>
      </c>
      <c r="L84" s="12" t="str">
        <f>IF(OR(A84&gt;Assumptions!$B$14,(G84+H84)=0),"",F84/(G84+H84))</f>
        <v/>
      </c>
      <c r="M84" s="10" t="str">
        <f>IF(A84&gt;Assumptions!$B$14,"Closed",IF(A84&lt;=Assumptions!$B$12,"Moratorium",IF(D84=0,"Closed (Repaid Early)",IF(OR(L84="",L84&gt;=Assumptions!$B$11-0.005),"PASS/OK","BREACH"))))</f>
        <v>Closed</v>
      </c>
    </row>
    <row r="85" spans="1:13" ht="15" customHeight="1" x14ac:dyDescent="0.25">
      <c r="A85" s="13">
        <v>78</v>
      </c>
      <c r="B85" s="13">
        <f t="shared" si="10"/>
        <v>20</v>
      </c>
      <c r="C85" s="13" t="str">
        <f>IF(A85&gt;Assumptions!$B$14,"Closed",IF(A85&lt;=Assumptions!$B$12,"Moratorium","Repayment"))</f>
        <v>Closed</v>
      </c>
      <c r="D85" s="14">
        <f t="shared" si="14"/>
        <v>0</v>
      </c>
      <c r="E85" s="14">
        <f>IF(B85&gt;25,0,INDEX(Assumptions!$B$22:$B$46,B85))</f>
        <v>0</v>
      </c>
      <c r="F85" s="14">
        <f t="shared" si="11"/>
        <v>0</v>
      </c>
      <c r="G85" s="35">
        <f>D85*Assumptions!$B$16</f>
        <v>0</v>
      </c>
      <c r="H85" s="33">
        <f>IF(OR(A85&lt;=Assumptions!$B$12,A85&gt;Assumptions!$B$14),0,MIN($K$19/(Assumptions!$B$14-$A$19),D85))</f>
        <v>0</v>
      </c>
      <c r="I85" s="36">
        <f>IF(A85&gt;Assumptions!$B$14,0,MIN(SUMPRODUCT((Assumptions!$B$53:$B$57=A85)*Assumptions!$C$53:$C$57)*Assumptions!$B$50,D85-H85))</f>
        <v>0</v>
      </c>
      <c r="J85" s="14">
        <f t="shared" si="12"/>
        <v>0</v>
      </c>
      <c r="K85" s="14">
        <f t="shared" si="13"/>
        <v>0</v>
      </c>
      <c r="L85" s="15" t="str">
        <f>IF(OR(A85&gt;Assumptions!$B$14,(G85+H85)=0),"",F85/(G85+H85))</f>
        <v/>
      </c>
      <c r="M85" s="13" t="str">
        <f>IF(A85&gt;Assumptions!$B$14,"Closed",IF(A85&lt;=Assumptions!$B$12,"Moratorium",IF(D85=0,"Closed (Repaid Early)",IF(OR(L85="",L85&gt;=Assumptions!$B$11-0.005),"PASS/OK","BREACH"))))</f>
        <v>Closed</v>
      </c>
    </row>
    <row r="86" spans="1:13" ht="15" customHeight="1" x14ac:dyDescent="0.25">
      <c r="A86" s="10">
        <v>79</v>
      </c>
      <c r="B86" s="10">
        <f t="shared" si="10"/>
        <v>20</v>
      </c>
      <c r="C86" s="10" t="str">
        <f>IF(A86&gt;Assumptions!$B$14,"Closed",IF(A86&lt;=Assumptions!$B$12,"Moratorium","Repayment"))</f>
        <v>Closed</v>
      </c>
      <c r="D86" s="11">
        <f t="shared" si="14"/>
        <v>0</v>
      </c>
      <c r="E86" s="11">
        <f>IF(B86&gt;25,0,INDEX(Assumptions!$B$22:$B$46,B86))</f>
        <v>0</v>
      </c>
      <c r="F86" s="11">
        <f t="shared" si="11"/>
        <v>0</v>
      </c>
      <c r="G86" s="32">
        <f>D86*Assumptions!$B$16</f>
        <v>0</v>
      </c>
      <c r="H86" s="33">
        <f>IF(OR(A86&lt;=Assumptions!$B$12,A86&gt;Assumptions!$B$14),0,MIN($K$19/(Assumptions!$B$14-$A$19),D86))</f>
        <v>0</v>
      </c>
      <c r="I86" s="34">
        <f>IF(A86&gt;Assumptions!$B$14,0,MIN(SUMPRODUCT((Assumptions!$B$53:$B$57=A86)*Assumptions!$C$53:$C$57)*Assumptions!$B$50,D86-H86))</f>
        <v>0</v>
      </c>
      <c r="J86" s="11">
        <f t="shared" si="12"/>
        <v>0</v>
      </c>
      <c r="K86" s="11">
        <f t="shared" si="13"/>
        <v>0</v>
      </c>
      <c r="L86" s="12" t="str">
        <f>IF(OR(A86&gt;Assumptions!$B$14,(G86+H86)=0),"",F86/(G86+H86))</f>
        <v/>
      </c>
      <c r="M86" s="10" t="str">
        <f>IF(A86&gt;Assumptions!$B$14,"Closed",IF(A86&lt;=Assumptions!$B$12,"Moratorium",IF(D86=0,"Closed (Repaid Early)",IF(OR(L86="",L86&gt;=Assumptions!$B$11-0.005),"PASS/OK","BREACH"))))</f>
        <v>Closed</v>
      </c>
    </row>
    <row r="87" spans="1:13" ht="15" customHeight="1" x14ac:dyDescent="0.25">
      <c r="A87" s="13">
        <v>80</v>
      </c>
      <c r="B87" s="13">
        <f t="shared" si="10"/>
        <v>20</v>
      </c>
      <c r="C87" s="13" t="str">
        <f>IF(A87&gt;Assumptions!$B$14,"Closed",IF(A87&lt;=Assumptions!$B$12,"Moratorium","Repayment"))</f>
        <v>Closed</v>
      </c>
      <c r="D87" s="14">
        <f t="shared" si="14"/>
        <v>0</v>
      </c>
      <c r="E87" s="14">
        <f>IF(B87&gt;25,0,INDEX(Assumptions!$B$22:$B$46,B87))</f>
        <v>0</v>
      </c>
      <c r="F87" s="14">
        <f t="shared" si="11"/>
        <v>0</v>
      </c>
      <c r="G87" s="35">
        <f>D87*Assumptions!$B$16</f>
        <v>0</v>
      </c>
      <c r="H87" s="33">
        <f>IF(OR(A87&lt;=Assumptions!$B$12,A87&gt;Assumptions!$B$14),0,MIN($K$19/(Assumptions!$B$14-$A$19),D87))</f>
        <v>0</v>
      </c>
      <c r="I87" s="36">
        <f>IF(A87&gt;Assumptions!$B$14,0,MIN(SUMPRODUCT((Assumptions!$B$53:$B$57=A87)*Assumptions!$C$53:$C$57)*Assumptions!$B$50,D87-H87))</f>
        <v>0</v>
      </c>
      <c r="J87" s="14">
        <f t="shared" si="12"/>
        <v>0</v>
      </c>
      <c r="K87" s="14">
        <f t="shared" si="13"/>
        <v>0</v>
      </c>
      <c r="L87" s="15" t="str">
        <f>IF(OR(A87&gt;Assumptions!$B$14,(G87+H87)=0),"",F87/(G87+H87))</f>
        <v/>
      </c>
      <c r="M87" s="13" t="str">
        <f>IF(A87&gt;Assumptions!$B$14,"Closed",IF(A87&lt;=Assumptions!$B$12,"Moratorium",IF(D87=0,"Closed (Repaid Early)",IF(OR(L87="",L87&gt;=Assumptions!$B$11-0.005),"PASS/OK","BREACH"))))</f>
        <v>Closed</v>
      </c>
    </row>
    <row r="88" spans="1:13" ht="15" customHeight="1" x14ac:dyDescent="0.25">
      <c r="A88" s="10">
        <v>81</v>
      </c>
      <c r="B88" s="10">
        <f t="shared" si="10"/>
        <v>21</v>
      </c>
      <c r="C88" s="10" t="str">
        <f>IF(A88&gt;Assumptions!$B$14,"Closed",IF(A88&lt;=Assumptions!$B$12,"Moratorium","Repayment"))</f>
        <v>Closed</v>
      </c>
      <c r="D88" s="11">
        <f t="shared" si="14"/>
        <v>0</v>
      </c>
      <c r="E88" s="11">
        <f>IF(B88&gt;25,0,INDEX(Assumptions!$B$22:$B$46,B88))</f>
        <v>0</v>
      </c>
      <c r="F88" s="11">
        <f t="shared" si="11"/>
        <v>0</v>
      </c>
      <c r="G88" s="32">
        <f>D88*Assumptions!$B$16</f>
        <v>0</v>
      </c>
      <c r="H88" s="33">
        <f>IF(OR(A88&lt;=Assumptions!$B$12,A88&gt;Assumptions!$B$14),0,MIN($K$19/(Assumptions!$B$14-$A$19),D88))</f>
        <v>0</v>
      </c>
      <c r="I88" s="34">
        <f>IF(A88&gt;Assumptions!$B$14,0,MIN(SUMPRODUCT((Assumptions!$B$53:$B$57=A88)*Assumptions!$C$53:$C$57)*Assumptions!$B$50,D88-H88))</f>
        <v>0</v>
      </c>
      <c r="J88" s="11">
        <f t="shared" si="12"/>
        <v>0</v>
      </c>
      <c r="K88" s="11">
        <f t="shared" si="13"/>
        <v>0</v>
      </c>
      <c r="L88" s="12" t="str">
        <f>IF(OR(A88&gt;Assumptions!$B$14,(G88+H88)=0),"",F88/(G88+H88))</f>
        <v/>
      </c>
      <c r="M88" s="10" t="str">
        <f>IF(A88&gt;Assumptions!$B$14,"Closed",IF(A88&lt;=Assumptions!$B$12,"Moratorium",IF(D88=0,"Closed (Repaid Early)",IF(OR(L88="",L88&gt;=Assumptions!$B$11-0.005),"PASS/OK","BREACH"))))</f>
        <v>Closed</v>
      </c>
    </row>
    <row r="89" spans="1:13" ht="15" customHeight="1" x14ac:dyDescent="0.25">
      <c r="A89" s="13">
        <v>82</v>
      </c>
      <c r="B89" s="13">
        <f t="shared" si="10"/>
        <v>21</v>
      </c>
      <c r="C89" s="13" t="str">
        <f>IF(A89&gt;Assumptions!$B$14,"Closed",IF(A89&lt;=Assumptions!$B$12,"Moratorium","Repayment"))</f>
        <v>Closed</v>
      </c>
      <c r="D89" s="14">
        <f t="shared" si="14"/>
        <v>0</v>
      </c>
      <c r="E89" s="14">
        <f>IF(B89&gt;25,0,INDEX(Assumptions!$B$22:$B$46,B89))</f>
        <v>0</v>
      </c>
      <c r="F89" s="14">
        <f t="shared" si="11"/>
        <v>0</v>
      </c>
      <c r="G89" s="35">
        <f>D89*Assumptions!$B$16</f>
        <v>0</v>
      </c>
      <c r="H89" s="33">
        <f>IF(OR(A89&lt;=Assumptions!$B$12,A89&gt;Assumptions!$B$14),0,MIN($K$19/(Assumptions!$B$14-$A$19),D89))</f>
        <v>0</v>
      </c>
      <c r="I89" s="36">
        <f>IF(A89&gt;Assumptions!$B$14,0,MIN(SUMPRODUCT((Assumptions!$B$53:$B$57=A89)*Assumptions!$C$53:$C$57)*Assumptions!$B$50,D89-H89))</f>
        <v>0</v>
      </c>
      <c r="J89" s="14">
        <f t="shared" si="12"/>
        <v>0</v>
      </c>
      <c r="K89" s="14">
        <f t="shared" si="13"/>
        <v>0</v>
      </c>
      <c r="L89" s="15" t="str">
        <f>IF(OR(A89&gt;Assumptions!$B$14,(G89+H89)=0),"",F89/(G89+H89))</f>
        <v/>
      </c>
      <c r="M89" s="13" t="str">
        <f>IF(A89&gt;Assumptions!$B$14,"Closed",IF(A89&lt;=Assumptions!$B$12,"Moratorium",IF(D89=0,"Closed (Repaid Early)",IF(OR(L89="",L89&gt;=Assumptions!$B$11-0.005),"PASS/OK","BREACH"))))</f>
        <v>Closed</v>
      </c>
    </row>
    <row r="90" spans="1:13" ht="15" customHeight="1" x14ac:dyDescent="0.25">
      <c r="A90" s="10">
        <v>83</v>
      </c>
      <c r="B90" s="10">
        <f t="shared" si="10"/>
        <v>21</v>
      </c>
      <c r="C90" s="10" t="str">
        <f>IF(A90&gt;Assumptions!$B$14,"Closed",IF(A90&lt;=Assumptions!$B$12,"Moratorium","Repayment"))</f>
        <v>Closed</v>
      </c>
      <c r="D90" s="11">
        <f t="shared" si="14"/>
        <v>0</v>
      </c>
      <c r="E90" s="11">
        <f>IF(B90&gt;25,0,INDEX(Assumptions!$B$22:$B$46,B90))</f>
        <v>0</v>
      </c>
      <c r="F90" s="11">
        <f t="shared" si="11"/>
        <v>0</v>
      </c>
      <c r="G90" s="32">
        <f>D90*Assumptions!$B$16</f>
        <v>0</v>
      </c>
      <c r="H90" s="33">
        <f>IF(OR(A90&lt;=Assumptions!$B$12,A90&gt;Assumptions!$B$14),0,MIN($K$19/(Assumptions!$B$14-$A$19),D90))</f>
        <v>0</v>
      </c>
      <c r="I90" s="34">
        <f>IF(A90&gt;Assumptions!$B$14,0,MIN(SUMPRODUCT((Assumptions!$B$53:$B$57=A90)*Assumptions!$C$53:$C$57)*Assumptions!$B$50,D90-H90))</f>
        <v>0</v>
      </c>
      <c r="J90" s="11">
        <f t="shared" si="12"/>
        <v>0</v>
      </c>
      <c r="K90" s="11">
        <f t="shared" si="13"/>
        <v>0</v>
      </c>
      <c r="L90" s="12" t="str">
        <f>IF(OR(A90&gt;Assumptions!$B$14,(G90+H90)=0),"",F90/(G90+H90))</f>
        <v/>
      </c>
      <c r="M90" s="10" t="str">
        <f>IF(A90&gt;Assumptions!$B$14,"Closed",IF(A90&lt;=Assumptions!$B$12,"Moratorium",IF(D90=0,"Closed (Repaid Early)",IF(OR(L90="",L90&gt;=Assumptions!$B$11-0.005),"PASS/OK","BREACH"))))</f>
        <v>Closed</v>
      </c>
    </row>
    <row r="91" spans="1:13" ht="15" customHeight="1" x14ac:dyDescent="0.25">
      <c r="A91" s="13">
        <v>84</v>
      </c>
      <c r="B91" s="13">
        <f t="shared" si="10"/>
        <v>21</v>
      </c>
      <c r="C91" s="13" t="str">
        <f>IF(A91&gt;Assumptions!$B$14,"Closed",IF(A91&lt;=Assumptions!$B$12,"Moratorium","Repayment"))</f>
        <v>Closed</v>
      </c>
      <c r="D91" s="14">
        <f t="shared" si="14"/>
        <v>0</v>
      </c>
      <c r="E91" s="14">
        <f>IF(B91&gt;25,0,INDEX(Assumptions!$B$22:$B$46,B91))</f>
        <v>0</v>
      </c>
      <c r="F91" s="14">
        <f t="shared" si="11"/>
        <v>0</v>
      </c>
      <c r="G91" s="35">
        <f>D91*Assumptions!$B$16</f>
        <v>0</v>
      </c>
      <c r="H91" s="33">
        <f>IF(OR(A91&lt;=Assumptions!$B$12,A91&gt;Assumptions!$B$14),0,MIN($K$19/(Assumptions!$B$14-$A$19),D91))</f>
        <v>0</v>
      </c>
      <c r="I91" s="36">
        <f>IF(A91&gt;Assumptions!$B$14,0,MIN(SUMPRODUCT((Assumptions!$B$53:$B$57=A91)*Assumptions!$C$53:$C$57)*Assumptions!$B$50,D91-H91))</f>
        <v>0</v>
      </c>
      <c r="J91" s="14">
        <f t="shared" si="12"/>
        <v>0</v>
      </c>
      <c r="K91" s="14">
        <f t="shared" si="13"/>
        <v>0</v>
      </c>
      <c r="L91" s="15" t="str">
        <f>IF(OR(A91&gt;Assumptions!$B$14,(G91+H91)=0),"",F91/(G91+H91))</f>
        <v/>
      </c>
      <c r="M91" s="13" t="str">
        <f>IF(A91&gt;Assumptions!$B$14,"Closed",IF(A91&lt;=Assumptions!$B$12,"Moratorium",IF(D91=0,"Closed (Repaid Early)",IF(OR(L91="",L91&gt;=Assumptions!$B$11-0.005),"PASS/OK","BREACH"))))</f>
        <v>Closed</v>
      </c>
    </row>
    <row r="92" spans="1:13" ht="15" customHeight="1" x14ac:dyDescent="0.25">
      <c r="A92" s="10">
        <v>85</v>
      </c>
      <c r="B92" s="10">
        <f t="shared" si="10"/>
        <v>22</v>
      </c>
      <c r="C92" s="10" t="str">
        <f>IF(A92&gt;Assumptions!$B$14,"Closed",IF(A92&lt;=Assumptions!$B$12,"Moratorium","Repayment"))</f>
        <v>Closed</v>
      </c>
      <c r="D92" s="11">
        <f t="shared" si="14"/>
        <v>0</v>
      </c>
      <c r="E92" s="11">
        <f>IF(B92&gt;25,0,INDEX(Assumptions!$B$22:$B$46,B92))</f>
        <v>0</v>
      </c>
      <c r="F92" s="11">
        <f t="shared" si="11"/>
        <v>0</v>
      </c>
      <c r="G92" s="32">
        <f>D92*Assumptions!$B$16</f>
        <v>0</v>
      </c>
      <c r="H92" s="33">
        <f>IF(OR(A92&lt;=Assumptions!$B$12,A92&gt;Assumptions!$B$14),0,MIN($K$19/(Assumptions!$B$14-$A$19),D92))</f>
        <v>0</v>
      </c>
      <c r="I92" s="34">
        <f>IF(A92&gt;Assumptions!$B$14,0,MIN(SUMPRODUCT((Assumptions!$B$53:$B$57=A92)*Assumptions!$C$53:$C$57)*Assumptions!$B$50,D92-H92))</f>
        <v>0</v>
      </c>
      <c r="J92" s="11">
        <f t="shared" si="12"/>
        <v>0</v>
      </c>
      <c r="K92" s="11">
        <f t="shared" si="13"/>
        <v>0</v>
      </c>
      <c r="L92" s="12" t="str">
        <f>IF(OR(A92&gt;Assumptions!$B$14,(G92+H92)=0),"",F92/(G92+H92))</f>
        <v/>
      </c>
      <c r="M92" s="10" t="str">
        <f>IF(A92&gt;Assumptions!$B$14,"Closed",IF(A92&lt;=Assumptions!$B$12,"Moratorium",IF(D92=0,"Closed (Repaid Early)",IF(OR(L92="",L92&gt;=Assumptions!$B$11-0.005),"PASS/OK","BREACH"))))</f>
        <v>Closed</v>
      </c>
    </row>
    <row r="93" spans="1:13" ht="15" customHeight="1" x14ac:dyDescent="0.25">
      <c r="A93" s="13">
        <v>86</v>
      </c>
      <c r="B93" s="13">
        <f t="shared" si="10"/>
        <v>22</v>
      </c>
      <c r="C93" s="13" t="str">
        <f>IF(A93&gt;Assumptions!$B$14,"Closed",IF(A93&lt;=Assumptions!$B$12,"Moratorium","Repayment"))</f>
        <v>Closed</v>
      </c>
      <c r="D93" s="14">
        <f t="shared" si="14"/>
        <v>0</v>
      </c>
      <c r="E93" s="14">
        <f>IF(B93&gt;25,0,INDEX(Assumptions!$B$22:$B$46,B93))</f>
        <v>0</v>
      </c>
      <c r="F93" s="14">
        <f t="shared" si="11"/>
        <v>0</v>
      </c>
      <c r="G93" s="35">
        <f>D93*Assumptions!$B$16</f>
        <v>0</v>
      </c>
      <c r="H93" s="33">
        <f>IF(OR(A93&lt;=Assumptions!$B$12,A93&gt;Assumptions!$B$14),0,MIN($K$19/(Assumptions!$B$14-$A$19),D93))</f>
        <v>0</v>
      </c>
      <c r="I93" s="36">
        <f>IF(A93&gt;Assumptions!$B$14,0,MIN(SUMPRODUCT((Assumptions!$B$53:$B$57=A93)*Assumptions!$C$53:$C$57)*Assumptions!$B$50,D93-H93))</f>
        <v>0</v>
      </c>
      <c r="J93" s="14">
        <f t="shared" si="12"/>
        <v>0</v>
      </c>
      <c r="K93" s="14">
        <f t="shared" si="13"/>
        <v>0</v>
      </c>
      <c r="L93" s="15" t="str">
        <f>IF(OR(A93&gt;Assumptions!$B$14,(G93+H93)=0),"",F93/(G93+H93))</f>
        <v/>
      </c>
      <c r="M93" s="13" t="str">
        <f>IF(A93&gt;Assumptions!$B$14,"Closed",IF(A93&lt;=Assumptions!$B$12,"Moratorium",IF(D93=0,"Closed (Repaid Early)",IF(OR(L93="",L93&gt;=Assumptions!$B$11-0.005),"PASS/OK","BREACH"))))</f>
        <v>Closed</v>
      </c>
    </row>
    <row r="94" spans="1:13" ht="15" customHeight="1" x14ac:dyDescent="0.25">
      <c r="A94" s="10">
        <v>87</v>
      </c>
      <c r="B94" s="10">
        <f t="shared" si="10"/>
        <v>22</v>
      </c>
      <c r="C94" s="10" t="str">
        <f>IF(A94&gt;Assumptions!$B$14,"Closed",IF(A94&lt;=Assumptions!$B$12,"Moratorium","Repayment"))</f>
        <v>Closed</v>
      </c>
      <c r="D94" s="11">
        <f t="shared" si="14"/>
        <v>0</v>
      </c>
      <c r="E94" s="11">
        <f>IF(B94&gt;25,0,INDEX(Assumptions!$B$22:$B$46,B94))</f>
        <v>0</v>
      </c>
      <c r="F94" s="11">
        <f t="shared" si="11"/>
        <v>0</v>
      </c>
      <c r="G94" s="32">
        <f>D94*Assumptions!$B$16</f>
        <v>0</v>
      </c>
      <c r="H94" s="33">
        <f>IF(OR(A94&lt;=Assumptions!$B$12,A94&gt;Assumptions!$B$14),0,MIN($K$19/(Assumptions!$B$14-$A$19),D94))</f>
        <v>0</v>
      </c>
      <c r="I94" s="34">
        <f>IF(A94&gt;Assumptions!$B$14,0,MIN(SUMPRODUCT((Assumptions!$B$53:$B$57=A94)*Assumptions!$C$53:$C$57)*Assumptions!$B$50,D94-H94))</f>
        <v>0</v>
      </c>
      <c r="J94" s="11">
        <f t="shared" si="12"/>
        <v>0</v>
      </c>
      <c r="K94" s="11">
        <f t="shared" si="13"/>
        <v>0</v>
      </c>
      <c r="L94" s="12" t="str">
        <f>IF(OR(A94&gt;Assumptions!$B$14,(G94+H94)=0),"",F94/(G94+H94))</f>
        <v/>
      </c>
      <c r="M94" s="10" t="str">
        <f>IF(A94&gt;Assumptions!$B$14,"Closed",IF(A94&lt;=Assumptions!$B$12,"Moratorium",IF(D94=0,"Closed (Repaid Early)",IF(OR(L94="",L94&gt;=Assumptions!$B$11-0.005),"PASS/OK","BREACH"))))</f>
        <v>Closed</v>
      </c>
    </row>
    <row r="95" spans="1:13" ht="15" customHeight="1" x14ac:dyDescent="0.25">
      <c r="A95" s="13">
        <v>88</v>
      </c>
      <c r="B95" s="13">
        <f t="shared" si="10"/>
        <v>22</v>
      </c>
      <c r="C95" s="13" t="str">
        <f>IF(A95&gt;Assumptions!$B$14,"Closed",IF(A95&lt;=Assumptions!$B$12,"Moratorium","Repayment"))</f>
        <v>Closed</v>
      </c>
      <c r="D95" s="14">
        <f t="shared" si="14"/>
        <v>0</v>
      </c>
      <c r="E95" s="14">
        <f>IF(B95&gt;25,0,INDEX(Assumptions!$B$22:$B$46,B95))</f>
        <v>0</v>
      </c>
      <c r="F95" s="14">
        <f t="shared" si="11"/>
        <v>0</v>
      </c>
      <c r="G95" s="35">
        <f>D95*Assumptions!$B$16</f>
        <v>0</v>
      </c>
      <c r="H95" s="33">
        <f>IF(OR(A95&lt;=Assumptions!$B$12,A95&gt;Assumptions!$B$14),0,MIN($K$19/(Assumptions!$B$14-$A$19),D95))</f>
        <v>0</v>
      </c>
      <c r="I95" s="36">
        <f>IF(A95&gt;Assumptions!$B$14,0,MIN(SUMPRODUCT((Assumptions!$B$53:$B$57=A95)*Assumptions!$C$53:$C$57)*Assumptions!$B$50,D95-H95))</f>
        <v>0</v>
      </c>
      <c r="J95" s="14">
        <f t="shared" si="12"/>
        <v>0</v>
      </c>
      <c r="K95" s="14">
        <f t="shared" si="13"/>
        <v>0</v>
      </c>
      <c r="L95" s="15" t="str">
        <f>IF(OR(A95&gt;Assumptions!$B$14,(G95+H95)=0),"",F95/(G95+H95))</f>
        <v/>
      </c>
      <c r="M95" s="13" t="str">
        <f>IF(A95&gt;Assumptions!$B$14,"Closed",IF(A95&lt;=Assumptions!$B$12,"Moratorium",IF(D95=0,"Closed (Repaid Early)",IF(OR(L95="",L95&gt;=Assumptions!$B$11-0.005),"PASS/OK","BREACH"))))</f>
        <v>Closed</v>
      </c>
    </row>
    <row r="96" spans="1:13" ht="15" customHeight="1" x14ac:dyDescent="0.25">
      <c r="A96" s="10">
        <v>89</v>
      </c>
      <c r="B96" s="10">
        <f t="shared" si="10"/>
        <v>23</v>
      </c>
      <c r="C96" s="10" t="str">
        <f>IF(A96&gt;Assumptions!$B$14,"Closed",IF(A96&lt;=Assumptions!$B$12,"Moratorium","Repayment"))</f>
        <v>Closed</v>
      </c>
      <c r="D96" s="11">
        <f t="shared" si="14"/>
        <v>0</v>
      </c>
      <c r="E96" s="11">
        <f>IF(B96&gt;25,0,INDEX(Assumptions!$B$22:$B$46,B96))</f>
        <v>0</v>
      </c>
      <c r="F96" s="11">
        <f t="shared" si="11"/>
        <v>0</v>
      </c>
      <c r="G96" s="32">
        <f>D96*Assumptions!$B$16</f>
        <v>0</v>
      </c>
      <c r="H96" s="33">
        <f>IF(OR(A96&lt;=Assumptions!$B$12,A96&gt;Assumptions!$B$14),0,MIN($K$19/(Assumptions!$B$14-$A$19),D96))</f>
        <v>0</v>
      </c>
      <c r="I96" s="34">
        <f>IF(A96&gt;Assumptions!$B$14,0,MIN(SUMPRODUCT((Assumptions!$B$53:$B$57=A96)*Assumptions!$C$53:$C$57)*Assumptions!$B$50,D96-H96))</f>
        <v>0</v>
      </c>
      <c r="J96" s="11">
        <f t="shared" si="12"/>
        <v>0</v>
      </c>
      <c r="K96" s="11">
        <f t="shared" si="13"/>
        <v>0</v>
      </c>
      <c r="L96" s="12" t="str">
        <f>IF(OR(A96&gt;Assumptions!$B$14,(G96+H96)=0),"",F96/(G96+H96))</f>
        <v/>
      </c>
      <c r="M96" s="10" t="str">
        <f>IF(A96&gt;Assumptions!$B$14,"Closed",IF(A96&lt;=Assumptions!$B$12,"Moratorium",IF(D96=0,"Closed (Repaid Early)",IF(OR(L96="",L96&gt;=Assumptions!$B$11-0.005),"PASS/OK","BREACH"))))</f>
        <v>Closed</v>
      </c>
    </row>
    <row r="97" spans="1:13" ht="15" customHeight="1" x14ac:dyDescent="0.25">
      <c r="A97" s="13">
        <v>90</v>
      </c>
      <c r="B97" s="13">
        <f t="shared" si="10"/>
        <v>23</v>
      </c>
      <c r="C97" s="13" t="str">
        <f>IF(A97&gt;Assumptions!$B$14,"Closed",IF(A97&lt;=Assumptions!$B$12,"Moratorium","Repayment"))</f>
        <v>Closed</v>
      </c>
      <c r="D97" s="14">
        <f t="shared" si="14"/>
        <v>0</v>
      </c>
      <c r="E97" s="14">
        <f>IF(B97&gt;25,0,INDEX(Assumptions!$B$22:$B$46,B97))</f>
        <v>0</v>
      </c>
      <c r="F97" s="14">
        <f t="shared" si="11"/>
        <v>0</v>
      </c>
      <c r="G97" s="35">
        <f>D97*Assumptions!$B$16</f>
        <v>0</v>
      </c>
      <c r="H97" s="33">
        <f>IF(OR(A97&lt;=Assumptions!$B$12,A97&gt;Assumptions!$B$14),0,MIN($K$19/(Assumptions!$B$14-$A$19),D97))</f>
        <v>0</v>
      </c>
      <c r="I97" s="36">
        <f>IF(A97&gt;Assumptions!$B$14,0,MIN(SUMPRODUCT((Assumptions!$B$53:$B$57=A97)*Assumptions!$C$53:$C$57)*Assumptions!$B$50,D97-H97))</f>
        <v>0</v>
      </c>
      <c r="J97" s="14">
        <f t="shared" si="12"/>
        <v>0</v>
      </c>
      <c r="K97" s="14">
        <f t="shared" si="13"/>
        <v>0</v>
      </c>
      <c r="L97" s="15" t="str">
        <f>IF(OR(A97&gt;Assumptions!$B$14,(G97+H97)=0),"",F97/(G97+H97))</f>
        <v/>
      </c>
      <c r="M97" s="13" t="str">
        <f>IF(A97&gt;Assumptions!$B$14,"Closed",IF(A97&lt;=Assumptions!$B$12,"Moratorium",IF(D97=0,"Closed (Repaid Early)",IF(OR(L97="",L97&gt;=Assumptions!$B$11-0.005),"PASS/OK","BREACH"))))</f>
        <v>Closed</v>
      </c>
    </row>
    <row r="98" spans="1:13" ht="15" customHeight="1" x14ac:dyDescent="0.25">
      <c r="A98" s="10">
        <v>91</v>
      </c>
      <c r="B98" s="10">
        <f t="shared" si="10"/>
        <v>23</v>
      </c>
      <c r="C98" s="10" t="str">
        <f>IF(A98&gt;Assumptions!$B$14,"Closed",IF(A98&lt;=Assumptions!$B$12,"Moratorium","Repayment"))</f>
        <v>Closed</v>
      </c>
      <c r="D98" s="11">
        <f t="shared" si="14"/>
        <v>0</v>
      </c>
      <c r="E98" s="11">
        <f>IF(B98&gt;25,0,INDEX(Assumptions!$B$22:$B$46,B98))</f>
        <v>0</v>
      </c>
      <c r="F98" s="11">
        <f t="shared" si="11"/>
        <v>0</v>
      </c>
      <c r="G98" s="32">
        <f>D98*Assumptions!$B$16</f>
        <v>0</v>
      </c>
      <c r="H98" s="33">
        <f>IF(OR(A98&lt;=Assumptions!$B$12,A98&gt;Assumptions!$B$14),0,MIN($K$19/(Assumptions!$B$14-$A$19),D98))</f>
        <v>0</v>
      </c>
      <c r="I98" s="34">
        <f>IF(A98&gt;Assumptions!$B$14,0,MIN(SUMPRODUCT((Assumptions!$B$53:$B$57=A98)*Assumptions!$C$53:$C$57)*Assumptions!$B$50,D98-H98))</f>
        <v>0</v>
      </c>
      <c r="J98" s="11">
        <f t="shared" si="12"/>
        <v>0</v>
      </c>
      <c r="K98" s="11">
        <f t="shared" si="13"/>
        <v>0</v>
      </c>
      <c r="L98" s="12" t="str">
        <f>IF(OR(A98&gt;Assumptions!$B$14,(G98+H98)=0),"",F98/(G98+H98))</f>
        <v/>
      </c>
      <c r="M98" s="10" t="str">
        <f>IF(A98&gt;Assumptions!$B$14,"Closed",IF(A98&lt;=Assumptions!$B$12,"Moratorium",IF(D98=0,"Closed (Repaid Early)",IF(OR(L98="",L98&gt;=Assumptions!$B$11-0.005),"PASS/OK","BREACH"))))</f>
        <v>Closed</v>
      </c>
    </row>
    <row r="99" spans="1:13" ht="15" customHeight="1" x14ac:dyDescent="0.25">
      <c r="A99" s="13">
        <v>92</v>
      </c>
      <c r="B99" s="13">
        <f t="shared" si="10"/>
        <v>23</v>
      </c>
      <c r="C99" s="13" t="str">
        <f>IF(A99&gt;Assumptions!$B$14,"Closed",IF(A99&lt;=Assumptions!$B$12,"Moratorium","Repayment"))</f>
        <v>Closed</v>
      </c>
      <c r="D99" s="14">
        <f t="shared" si="14"/>
        <v>0</v>
      </c>
      <c r="E99" s="14">
        <f>IF(B99&gt;25,0,INDEX(Assumptions!$B$22:$B$46,B99))</f>
        <v>0</v>
      </c>
      <c r="F99" s="14">
        <f t="shared" si="11"/>
        <v>0</v>
      </c>
      <c r="G99" s="35">
        <f>D99*Assumptions!$B$16</f>
        <v>0</v>
      </c>
      <c r="H99" s="33">
        <f>IF(OR(A99&lt;=Assumptions!$B$12,A99&gt;Assumptions!$B$14),0,MIN($K$19/(Assumptions!$B$14-$A$19),D99))</f>
        <v>0</v>
      </c>
      <c r="I99" s="36">
        <f>IF(A99&gt;Assumptions!$B$14,0,MIN(SUMPRODUCT((Assumptions!$B$53:$B$57=A99)*Assumptions!$C$53:$C$57)*Assumptions!$B$50,D99-H99))</f>
        <v>0</v>
      </c>
      <c r="J99" s="14">
        <f t="shared" si="12"/>
        <v>0</v>
      </c>
      <c r="K99" s="14">
        <f t="shared" si="13"/>
        <v>0</v>
      </c>
      <c r="L99" s="15" t="str">
        <f>IF(OR(A99&gt;Assumptions!$B$14,(G99+H99)=0),"",F99/(G99+H99))</f>
        <v/>
      </c>
      <c r="M99" s="13" t="str">
        <f>IF(A99&gt;Assumptions!$B$14,"Closed",IF(A99&lt;=Assumptions!$B$12,"Moratorium",IF(D99=0,"Closed (Repaid Early)",IF(OR(L99="",L99&gt;=Assumptions!$B$11-0.005),"PASS/OK","BREACH"))))</f>
        <v>Closed</v>
      </c>
    </row>
    <row r="100" spans="1:13" ht="15" customHeight="1" x14ac:dyDescent="0.25">
      <c r="A100" s="10">
        <v>93</v>
      </c>
      <c r="B100" s="10">
        <f t="shared" si="10"/>
        <v>24</v>
      </c>
      <c r="C100" s="10" t="str">
        <f>IF(A100&gt;Assumptions!$B$14,"Closed",IF(A100&lt;=Assumptions!$B$12,"Moratorium","Repayment"))</f>
        <v>Closed</v>
      </c>
      <c r="D100" s="11">
        <f t="shared" si="14"/>
        <v>0</v>
      </c>
      <c r="E100" s="11">
        <f>IF(B100&gt;25,0,INDEX(Assumptions!$B$22:$B$46,B100))</f>
        <v>0</v>
      </c>
      <c r="F100" s="11">
        <f t="shared" si="11"/>
        <v>0</v>
      </c>
      <c r="G100" s="32">
        <f>D100*Assumptions!$B$16</f>
        <v>0</v>
      </c>
      <c r="H100" s="33">
        <f>IF(OR(A100&lt;=Assumptions!$B$12,A100&gt;Assumptions!$B$14),0,MIN($K$19/(Assumptions!$B$14-$A$19),D100))</f>
        <v>0</v>
      </c>
      <c r="I100" s="34">
        <f>IF(A100&gt;Assumptions!$B$14,0,MIN(SUMPRODUCT((Assumptions!$B$53:$B$57=A100)*Assumptions!$C$53:$C$57)*Assumptions!$B$50,D100-H100))</f>
        <v>0</v>
      </c>
      <c r="J100" s="11">
        <f t="shared" si="12"/>
        <v>0</v>
      </c>
      <c r="K100" s="11">
        <f t="shared" si="13"/>
        <v>0</v>
      </c>
      <c r="L100" s="12" t="str">
        <f>IF(OR(A100&gt;Assumptions!$B$14,(G100+H100)=0),"",F100/(G100+H100))</f>
        <v/>
      </c>
      <c r="M100" s="10" t="str">
        <f>IF(A100&gt;Assumptions!$B$14,"Closed",IF(A100&lt;=Assumptions!$B$12,"Moratorium",IF(D100=0,"Closed (Repaid Early)",IF(OR(L100="",L100&gt;=Assumptions!$B$11-0.005),"PASS/OK","BREACH"))))</f>
        <v>Closed</v>
      </c>
    </row>
    <row r="101" spans="1:13" ht="15" customHeight="1" x14ac:dyDescent="0.25">
      <c r="A101" s="13">
        <v>94</v>
      </c>
      <c r="B101" s="13">
        <f t="shared" si="10"/>
        <v>24</v>
      </c>
      <c r="C101" s="13" t="str">
        <f>IF(A101&gt;Assumptions!$B$14,"Closed",IF(A101&lt;=Assumptions!$B$12,"Moratorium","Repayment"))</f>
        <v>Closed</v>
      </c>
      <c r="D101" s="14">
        <f t="shared" si="14"/>
        <v>0</v>
      </c>
      <c r="E101" s="14">
        <f>IF(B101&gt;25,0,INDEX(Assumptions!$B$22:$B$46,B101))</f>
        <v>0</v>
      </c>
      <c r="F101" s="14">
        <f t="shared" si="11"/>
        <v>0</v>
      </c>
      <c r="G101" s="35">
        <f>D101*Assumptions!$B$16</f>
        <v>0</v>
      </c>
      <c r="H101" s="33">
        <f>IF(OR(A101&lt;=Assumptions!$B$12,A101&gt;Assumptions!$B$14),0,MIN($K$19/(Assumptions!$B$14-$A$19),D101))</f>
        <v>0</v>
      </c>
      <c r="I101" s="36">
        <f>IF(A101&gt;Assumptions!$B$14,0,MIN(SUMPRODUCT((Assumptions!$B$53:$B$57=A101)*Assumptions!$C$53:$C$57)*Assumptions!$B$50,D101-H101))</f>
        <v>0</v>
      </c>
      <c r="J101" s="14">
        <f t="shared" si="12"/>
        <v>0</v>
      </c>
      <c r="K101" s="14">
        <f t="shared" si="13"/>
        <v>0</v>
      </c>
      <c r="L101" s="15" t="str">
        <f>IF(OR(A101&gt;Assumptions!$B$14,(G101+H101)=0),"",F101/(G101+H101))</f>
        <v/>
      </c>
      <c r="M101" s="13" t="str">
        <f>IF(A101&gt;Assumptions!$B$14,"Closed",IF(A101&lt;=Assumptions!$B$12,"Moratorium",IF(D101=0,"Closed (Repaid Early)",IF(OR(L101="",L101&gt;=Assumptions!$B$11-0.005),"PASS/OK","BREACH"))))</f>
        <v>Closed</v>
      </c>
    </row>
    <row r="102" spans="1:13" ht="15" customHeight="1" x14ac:dyDescent="0.25">
      <c r="A102" s="10">
        <v>95</v>
      </c>
      <c r="B102" s="10">
        <f t="shared" si="10"/>
        <v>24</v>
      </c>
      <c r="C102" s="10" t="str">
        <f>IF(A102&gt;Assumptions!$B$14,"Closed",IF(A102&lt;=Assumptions!$B$12,"Moratorium","Repayment"))</f>
        <v>Closed</v>
      </c>
      <c r="D102" s="11">
        <f t="shared" si="14"/>
        <v>0</v>
      </c>
      <c r="E102" s="11">
        <f>IF(B102&gt;25,0,INDEX(Assumptions!$B$22:$B$46,B102))</f>
        <v>0</v>
      </c>
      <c r="F102" s="11">
        <f t="shared" si="11"/>
        <v>0</v>
      </c>
      <c r="G102" s="32">
        <f>D102*Assumptions!$B$16</f>
        <v>0</v>
      </c>
      <c r="H102" s="33">
        <f>IF(OR(A102&lt;=Assumptions!$B$12,A102&gt;Assumptions!$B$14),0,MIN($K$19/(Assumptions!$B$14-$A$19),D102))</f>
        <v>0</v>
      </c>
      <c r="I102" s="34">
        <f>IF(A102&gt;Assumptions!$B$14,0,MIN(SUMPRODUCT((Assumptions!$B$53:$B$57=A102)*Assumptions!$C$53:$C$57)*Assumptions!$B$50,D102-H102))</f>
        <v>0</v>
      </c>
      <c r="J102" s="11">
        <f t="shared" si="12"/>
        <v>0</v>
      </c>
      <c r="K102" s="11">
        <f t="shared" si="13"/>
        <v>0</v>
      </c>
      <c r="L102" s="12" t="str">
        <f>IF(OR(A102&gt;Assumptions!$B$14,(G102+H102)=0),"",F102/(G102+H102))</f>
        <v/>
      </c>
      <c r="M102" s="10" t="str">
        <f>IF(A102&gt;Assumptions!$B$14,"Closed",IF(A102&lt;=Assumptions!$B$12,"Moratorium",IF(D102=0,"Closed (Repaid Early)",IF(OR(L102="",L102&gt;=Assumptions!$B$11-0.005),"PASS/OK","BREACH"))))</f>
        <v>Closed</v>
      </c>
    </row>
    <row r="103" spans="1:13" ht="15" customHeight="1" x14ac:dyDescent="0.25">
      <c r="A103" s="13">
        <v>96</v>
      </c>
      <c r="B103" s="13">
        <f t="shared" si="10"/>
        <v>24</v>
      </c>
      <c r="C103" s="13" t="str">
        <f>IF(A103&gt;Assumptions!$B$14,"Closed",IF(A103&lt;=Assumptions!$B$12,"Moratorium","Repayment"))</f>
        <v>Closed</v>
      </c>
      <c r="D103" s="14">
        <f t="shared" si="14"/>
        <v>0</v>
      </c>
      <c r="E103" s="14">
        <f>IF(B103&gt;25,0,INDEX(Assumptions!$B$22:$B$46,B103))</f>
        <v>0</v>
      </c>
      <c r="F103" s="14">
        <f t="shared" si="11"/>
        <v>0</v>
      </c>
      <c r="G103" s="35">
        <f>D103*Assumptions!$B$16</f>
        <v>0</v>
      </c>
      <c r="H103" s="33">
        <f>IF(OR(A103&lt;=Assumptions!$B$12,A103&gt;Assumptions!$B$14),0,MIN($K$19/(Assumptions!$B$14-$A$19),D103))</f>
        <v>0</v>
      </c>
      <c r="I103" s="36">
        <f>IF(A103&gt;Assumptions!$B$14,0,MIN(SUMPRODUCT((Assumptions!$B$53:$B$57=A103)*Assumptions!$C$53:$C$57)*Assumptions!$B$50,D103-H103))</f>
        <v>0</v>
      </c>
      <c r="J103" s="14">
        <f t="shared" si="12"/>
        <v>0</v>
      </c>
      <c r="K103" s="14">
        <f t="shared" si="13"/>
        <v>0</v>
      </c>
      <c r="L103" s="15" t="str">
        <f>IF(OR(A103&gt;Assumptions!$B$14,(G103+H103)=0),"",F103/(G103+H103))</f>
        <v/>
      </c>
      <c r="M103" s="13" t="str">
        <f>IF(A103&gt;Assumptions!$B$14,"Closed",IF(A103&lt;=Assumptions!$B$12,"Moratorium",IF(D103=0,"Closed (Repaid Early)",IF(OR(L103="",L103&gt;=Assumptions!$B$11-0.005),"PASS/OK","BREACH"))))</f>
        <v>Closed</v>
      </c>
    </row>
    <row r="104" spans="1:13" ht="15" customHeight="1" x14ac:dyDescent="0.25">
      <c r="A104" s="10">
        <v>97</v>
      </c>
      <c r="B104" s="10">
        <f t="shared" ref="B104:B107" si="15">ROUNDUP(A104/4,0)</f>
        <v>25</v>
      </c>
      <c r="C104" s="10" t="str">
        <f>IF(A104&gt;Assumptions!$B$14,"Closed",IF(A104&lt;=Assumptions!$B$12,"Moratorium","Repayment"))</f>
        <v>Closed</v>
      </c>
      <c r="D104" s="11">
        <f t="shared" si="14"/>
        <v>0</v>
      </c>
      <c r="E104" s="11">
        <f>IF(B104&gt;25,0,INDEX(Assumptions!$B$22:$B$46,B104))</f>
        <v>0</v>
      </c>
      <c r="F104" s="11">
        <f t="shared" ref="F104:F107" si="16">E104/4</f>
        <v>0</v>
      </c>
      <c r="G104" s="32">
        <f>D104*Assumptions!$B$16</f>
        <v>0</v>
      </c>
      <c r="H104" s="33">
        <f>IF(OR(A104&lt;=Assumptions!$B$12,A104&gt;Assumptions!$B$14),0,MIN($K$19/(Assumptions!$B$14-$A$19),D104))</f>
        <v>0</v>
      </c>
      <c r="I104" s="34">
        <f>IF(A104&gt;Assumptions!$B$14,0,MIN(SUMPRODUCT((Assumptions!$B$53:$B$57=A104)*Assumptions!$C$53:$C$57)*Assumptions!$B$50,D104-H104))</f>
        <v>0</v>
      </c>
      <c r="J104" s="11">
        <f t="shared" ref="J104:J107" si="17">H104+I104</f>
        <v>0</v>
      </c>
      <c r="K104" s="11">
        <f t="shared" ref="K104:K107" si="18">D104-J104</f>
        <v>0</v>
      </c>
      <c r="L104" s="12" t="str">
        <f>IF(OR(A104&gt;Assumptions!$B$14,(G104+H104)=0),"",F104/(G104+H104))</f>
        <v/>
      </c>
      <c r="M104" s="10" t="str">
        <f>IF(A104&gt;Assumptions!$B$14,"Closed",IF(A104&lt;=Assumptions!$B$12,"Moratorium",IF(D104=0,"Closed (Repaid Early)",IF(OR(L104="",L104&gt;=Assumptions!$B$11-0.005),"PASS/OK","BREACH"))))</f>
        <v>Closed</v>
      </c>
    </row>
    <row r="105" spans="1:13" ht="15" customHeight="1" x14ac:dyDescent="0.25">
      <c r="A105" s="13">
        <v>98</v>
      </c>
      <c r="B105" s="13">
        <f t="shared" si="15"/>
        <v>25</v>
      </c>
      <c r="C105" s="13" t="str">
        <f>IF(A105&gt;Assumptions!$B$14,"Closed",IF(A105&lt;=Assumptions!$B$12,"Moratorium","Repayment"))</f>
        <v>Closed</v>
      </c>
      <c r="D105" s="14">
        <f t="shared" si="14"/>
        <v>0</v>
      </c>
      <c r="E105" s="14">
        <f>IF(B105&gt;25,0,INDEX(Assumptions!$B$22:$B$46,B105))</f>
        <v>0</v>
      </c>
      <c r="F105" s="14">
        <f t="shared" si="16"/>
        <v>0</v>
      </c>
      <c r="G105" s="35">
        <f>D105*Assumptions!$B$16</f>
        <v>0</v>
      </c>
      <c r="H105" s="33">
        <f>IF(OR(A105&lt;=Assumptions!$B$12,A105&gt;Assumptions!$B$14),0,MIN($K$19/(Assumptions!$B$14-$A$19),D105))</f>
        <v>0</v>
      </c>
      <c r="I105" s="36">
        <f>IF(A105&gt;Assumptions!$B$14,0,MIN(SUMPRODUCT((Assumptions!$B$53:$B$57=A105)*Assumptions!$C$53:$C$57)*Assumptions!$B$50,D105-H105))</f>
        <v>0</v>
      </c>
      <c r="J105" s="14">
        <f t="shared" si="17"/>
        <v>0</v>
      </c>
      <c r="K105" s="14">
        <f t="shared" si="18"/>
        <v>0</v>
      </c>
      <c r="L105" s="15" t="str">
        <f>IF(OR(A105&gt;Assumptions!$B$14,(G105+H105)=0),"",F105/(G105+H105))</f>
        <v/>
      </c>
      <c r="M105" s="13" t="str">
        <f>IF(A105&gt;Assumptions!$B$14,"Closed",IF(A105&lt;=Assumptions!$B$12,"Moratorium",IF(D105=0,"Closed (Repaid Early)",IF(OR(L105="",L105&gt;=Assumptions!$B$11-0.005),"PASS/OK","BREACH"))))</f>
        <v>Closed</v>
      </c>
    </row>
    <row r="106" spans="1:13" ht="15" customHeight="1" x14ac:dyDescent="0.25">
      <c r="A106" s="10">
        <v>99</v>
      </c>
      <c r="B106" s="10">
        <f t="shared" si="15"/>
        <v>25</v>
      </c>
      <c r="C106" s="10" t="str">
        <f>IF(A106&gt;Assumptions!$B$14,"Closed",IF(A106&lt;=Assumptions!$B$12,"Moratorium","Repayment"))</f>
        <v>Closed</v>
      </c>
      <c r="D106" s="11">
        <f t="shared" si="14"/>
        <v>0</v>
      </c>
      <c r="E106" s="11">
        <f>IF(B106&gt;25,0,INDEX(Assumptions!$B$22:$B$46,B106))</f>
        <v>0</v>
      </c>
      <c r="F106" s="11">
        <f t="shared" si="16"/>
        <v>0</v>
      </c>
      <c r="G106" s="32">
        <f>D106*Assumptions!$B$16</f>
        <v>0</v>
      </c>
      <c r="H106" s="33">
        <f>IF(OR(A106&lt;=Assumptions!$B$12,A106&gt;Assumptions!$B$14),0,MIN($K$19/(Assumptions!$B$14-$A$19),D106))</f>
        <v>0</v>
      </c>
      <c r="I106" s="34">
        <f>IF(A106&gt;Assumptions!$B$14,0,MIN(SUMPRODUCT((Assumptions!$B$53:$B$57=A106)*Assumptions!$C$53:$C$57)*Assumptions!$B$50,D106-H106))</f>
        <v>0</v>
      </c>
      <c r="J106" s="11">
        <f t="shared" si="17"/>
        <v>0</v>
      </c>
      <c r="K106" s="11">
        <f t="shared" si="18"/>
        <v>0</v>
      </c>
      <c r="L106" s="12" t="str">
        <f>IF(OR(A106&gt;Assumptions!$B$14,(G106+H106)=0),"",F106/(G106+H106))</f>
        <v/>
      </c>
      <c r="M106" s="10" t="str">
        <f>IF(A106&gt;Assumptions!$B$14,"Closed",IF(A106&lt;=Assumptions!$B$12,"Moratorium",IF(D106=0,"Closed (Repaid Early)",IF(OR(L106="",L106&gt;=Assumptions!$B$11-0.005),"PASS/OK","BREACH"))))</f>
        <v>Closed</v>
      </c>
    </row>
    <row r="107" spans="1:13" ht="15" customHeight="1" x14ac:dyDescent="0.25">
      <c r="A107" s="13">
        <v>100</v>
      </c>
      <c r="B107" s="13">
        <f t="shared" si="15"/>
        <v>25</v>
      </c>
      <c r="C107" s="13" t="str">
        <f>IF(A107&gt;Assumptions!$B$14,"Closed",IF(A107&lt;=Assumptions!$B$12,"Moratorium","Repayment"))</f>
        <v>Closed</v>
      </c>
      <c r="D107" s="14">
        <f t="shared" si="14"/>
        <v>0</v>
      </c>
      <c r="E107" s="14">
        <f>IF(B107&gt;25,0,INDEX(Assumptions!$B$22:$B$46,B107))</f>
        <v>0</v>
      </c>
      <c r="F107" s="14">
        <f t="shared" si="16"/>
        <v>0</v>
      </c>
      <c r="G107" s="35">
        <f>D107*Assumptions!$B$16</f>
        <v>0</v>
      </c>
      <c r="H107" s="37">
        <f>IF(OR(A107&lt;=Assumptions!$B$12,A107&gt;Assumptions!$B$14),0,MIN($K$19/(Assumptions!$B$14-$A$19),D107))</f>
        <v>0</v>
      </c>
      <c r="I107" s="36">
        <f>IF(A107&gt;Assumptions!$B$14,0,MIN(SUMPRODUCT((Assumptions!$B$53:$B$57=A107)*Assumptions!$C$53:$C$57)*Assumptions!$B$50,D107-H107))</f>
        <v>0</v>
      </c>
      <c r="J107" s="14">
        <f t="shared" si="17"/>
        <v>0</v>
      </c>
      <c r="K107" s="14">
        <f t="shared" si="18"/>
        <v>0</v>
      </c>
      <c r="L107" s="15" t="str">
        <f>IF(OR(A107&gt;Assumptions!$B$14,(G107+H107)=0),"",F107/(G107+H107))</f>
        <v/>
      </c>
      <c r="M107" s="13" t="str">
        <f>IF(A107&gt;Assumptions!$B$14,"Closed",IF(A107&lt;=Assumptions!$B$12,"Moratorium",IF(D107=0,"Closed (Repaid Early)",IF(OR(L107="",L107&gt;=Assumptions!$B$11-0.005),"PASS/OK","BREACH"))))</f>
        <v>Closed</v>
      </c>
    </row>
    <row r="108" spans="1:13" ht="15" customHeight="1" x14ac:dyDescent="0.25">
      <c r="A108" s="16" t="s">
        <v>102</v>
      </c>
      <c r="B108" s="16"/>
      <c r="C108" s="16"/>
      <c r="D108" s="16"/>
      <c r="E108" s="16"/>
      <c r="F108" s="16"/>
      <c r="G108" s="17">
        <f>SUM(G8:G107)</f>
        <v>169.20295529411754</v>
      </c>
      <c r="H108" s="17">
        <f>SUM(H8:H107)</f>
        <v>281.75999999999976</v>
      </c>
      <c r="I108" s="17">
        <f>SUM(I8:I107)</f>
        <v>90</v>
      </c>
      <c r="J108" s="17">
        <f>SUM(J8:J107)</f>
        <v>371.75999999999925</v>
      </c>
      <c r="K108" s="17">
        <f>K107</f>
        <v>0</v>
      </c>
      <c r="L108" s="16"/>
      <c r="M108" s="16"/>
    </row>
    <row r="110" spans="1:13" ht="45.75" customHeight="1" x14ac:dyDescent="0.25">
      <c r="A110" s="87" t="s">
        <v>108</v>
      </c>
      <c r="B110" s="87"/>
      <c r="C110" s="87"/>
      <c r="D110" s="87"/>
      <c r="E110" s="87"/>
      <c r="F110" s="87"/>
      <c r="G110" s="87"/>
      <c r="H110" s="87"/>
      <c r="I110" s="87"/>
      <c r="J110" s="87"/>
      <c r="K110" s="87"/>
      <c r="L110" s="87"/>
      <c r="M110" s="87"/>
    </row>
  </sheetData>
  <mergeCells count="5">
    <mergeCell ref="A2:N2"/>
    <mergeCell ref="A3:N3"/>
    <mergeCell ref="A4:N4"/>
    <mergeCell ref="A5:N5"/>
    <mergeCell ref="A110:M110"/>
  </mergeCells>
  <conditionalFormatting sqref="C8:C107">
    <cfRule type="cellIs" dxfId="5" priority="4" operator="equal">
      <formula>"Closed"</formula>
    </cfRule>
  </conditionalFormatting>
  <conditionalFormatting sqref="M8:M107">
    <cfRule type="cellIs" dxfId="4" priority="2" operator="equal">
      <formula>"BREACH"</formula>
    </cfRule>
    <cfRule type="cellIs" dxfId="3" priority="3" operator="equal">
      <formula>"Closed"</formula>
    </cfRule>
  </conditionalFormatting>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2"/>
  <sheetViews>
    <sheetView showGridLines="0" zoomScaleNormal="100" workbookViewId="0">
      <pane ySplit="5" topLeftCell="A6" activePane="bottomLeft" state="frozen"/>
      <selection pane="bottomLeft" sqref="A1:XFD1048576"/>
    </sheetView>
  </sheetViews>
  <sheetFormatPr defaultColWidth="8.5703125" defaultRowHeight="15" x14ac:dyDescent="0.25"/>
  <cols>
    <col min="1" max="1" width="10" style="2" customWidth="1"/>
    <col min="2" max="2" width="13" style="2" customWidth="1"/>
    <col min="3" max="3" width="15" style="2" customWidth="1"/>
    <col min="4" max="4" width="14" style="2" customWidth="1"/>
    <col min="5" max="5" width="13" style="2" customWidth="1"/>
    <col min="6" max="7" width="10" style="2" customWidth="1"/>
    <col min="8" max="16384" width="8.5703125" style="2"/>
  </cols>
  <sheetData>
    <row r="1" spans="1:7" ht="20.25" x14ac:dyDescent="0.3">
      <c r="A1" s="1" t="str">
        <f>Equal_Principal_Schedule!A1</f>
        <v>camsroy.com</v>
      </c>
      <c r="B1" s="1"/>
      <c r="C1" s="1"/>
      <c r="D1" s="1"/>
      <c r="E1" s="1"/>
      <c r="F1" s="1"/>
      <c r="G1" s="1"/>
    </row>
    <row r="2" spans="1:7" ht="27.75" customHeight="1" x14ac:dyDescent="0.25">
      <c r="A2" s="99" t="s">
        <v>109</v>
      </c>
      <c r="B2" s="99"/>
      <c r="C2" s="99"/>
      <c r="D2" s="99"/>
      <c r="E2" s="99"/>
      <c r="F2" s="99"/>
      <c r="G2" s="99"/>
    </row>
    <row r="3" spans="1:7" ht="6" customHeight="1" x14ac:dyDescent="0.25">
      <c r="A3" s="92"/>
      <c r="B3" s="92"/>
      <c r="C3" s="92"/>
      <c r="D3" s="92"/>
      <c r="E3" s="92"/>
      <c r="F3" s="92"/>
      <c r="G3" s="92"/>
    </row>
    <row r="5" spans="1:7" ht="33.75" customHeight="1" x14ac:dyDescent="0.25">
      <c r="A5" s="24" t="s">
        <v>86</v>
      </c>
      <c r="B5" s="24" t="s">
        <v>88</v>
      </c>
      <c r="C5" s="24" t="s">
        <v>110</v>
      </c>
      <c r="D5" s="24" t="s">
        <v>111</v>
      </c>
      <c r="E5" s="24" t="s">
        <v>96</v>
      </c>
      <c r="F5" s="24" t="s">
        <v>112</v>
      </c>
      <c r="G5" s="24" t="s">
        <v>113</v>
      </c>
    </row>
    <row r="6" spans="1:7" ht="15" customHeight="1" x14ac:dyDescent="0.25">
      <c r="A6" s="25">
        <v>1</v>
      </c>
      <c r="B6" s="26">
        <f>IFERROR(INDEX(Sculpting_Schedule!D7:D106,MATCH(A6,Sculpting_Schedule!B7:B106,0)),0)</f>
        <v>371.76</v>
      </c>
      <c r="C6" s="26">
        <f>SUMIF(Sculpting_Schedule!B7:B106,A6,Sculpting_Schedule!K7:K106)</f>
        <v>22.353029921249998</v>
      </c>
      <c r="D6" s="26">
        <f>SUMIF(Sculpting_Schedule!B7:B106,A6,Sculpting_Schedule!G7:G106)</f>
        <v>31.725590078749995</v>
      </c>
      <c r="E6" s="26">
        <f t="shared" ref="E6:E30" si="0">B6-C6</f>
        <v>349.40697007874996</v>
      </c>
      <c r="F6" s="27">
        <f>IFERROR(SUMIF(Sculpting_Schedule!$B$7:$B$106,A6,Sculpting_Schedule!$F$7:$F$106)/(SUMIF(Sculpting_Schedule!$B$7:$B$106,A6,Sculpting_Schedule!$G$7:$G$106)+SUMIF(Sculpting_Schedule!$B$7:$B$106,A6,Sculpting_Schedule!$I$7:$I$106)),"")</f>
        <v>1.6630347834811863</v>
      </c>
      <c r="G6" s="25" t="str">
        <f>IF(F6="","",IF(F6&lt;Assumptions!$B$11-0.005,"YES - Annual DSCR below covenant","No"))</f>
        <v>No</v>
      </c>
    </row>
    <row r="7" spans="1:7" ht="15" customHeight="1" x14ac:dyDescent="0.25">
      <c r="A7" s="28">
        <v>2</v>
      </c>
      <c r="B7" s="29">
        <f>IFERROR(INDEX(Sculpting_Schedule!D7:D106,MATCH(A7,Sculpting_Schedule!B7:B106,0)),0)</f>
        <v>349.40697007874996</v>
      </c>
      <c r="C7" s="29">
        <f>SUMIF(Sculpting_Schedule!B7:B106,A7,Sculpting_Schedule!K7:K106)</f>
        <v>57.065306063051324</v>
      </c>
      <c r="D7" s="29">
        <f>SUMIF(Sculpting_Schedule!B7:B106,A7,Sculpting_Schedule!G7:G106)</f>
        <v>27.934693936948676</v>
      </c>
      <c r="E7" s="29">
        <f t="shared" si="0"/>
        <v>292.34166401569865</v>
      </c>
      <c r="F7" s="30">
        <f>IFERROR(SUMIF(Sculpting_Schedule!$B$7:$B$106,A7,Sculpting_Schedule!$F$7:$F$106)/(SUMIF(Sculpting_Schedule!$B$7:$B$106,A7,Sculpting_Schedule!$G$7:$G$106)+SUMIF(Sculpting_Schedule!$B$7:$B$106,A7,Sculpting_Schedule!$I$7:$I$106)),"")</f>
        <v>1.5</v>
      </c>
      <c r="G7" s="28" t="str">
        <f>IF(F7="","",IF(F7&lt;Assumptions!$B$11-0.005,"YES - Annual DSCR below covenant","No"))</f>
        <v>No</v>
      </c>
    </row>
    <row r="8" spans="1:7" ht="15" customHeight="1" x14ac:dyDescent="0.25">
      <c r="A8" s="25">
        <v>3</v>
      </c>
      <c r="B8" s="26">
        <f>IFERROR(INDEX(Sculpting_Schedule!D7:D106,MATCH(A8,Sculpting_Schedule!B7:B106,0)),0)</f>
        <v>292.34166401569865</v>
      </c>
      <c r="C8" s="26">
        <f>SUMIF(Sculpting_Schedule!B7:B106,A8,Sculpting_Schedule!K7:K106)</f>
        <v>43.376974661889243</v>
      </c>
      <c r="D8" s="26">
        <f>SUMIF(Sculpting_Schedule!B7:B106,A8,Sculpting_Schedule!G7:G106)</f>
        <v>23.623025338110761</v>
      </c>
      <c r="E8" s="26">
        <f t="shared" si="0"/>
        <v>248.9646893538094</v>
      </c>
      <c r="F8" s="27">
        <f>IFERROR(SUMIF(Sculpting_Schedule!$B$7:$B$106,A8,Sculpting_Schedule!$F$7:$F$106)/(SUMIF(Sculpting_Schedule!$B$7:$B$106,A8,Sculpting_Schedule!$G$7:$G$106)+SUMIF(Sculpting_Schedule!$B$7:$B$106,A8,Sculpting_Schedule!$I$7:$I$106)),"")</f>
        <v>1.5</v>
      </c>
      <c r="G8" s="25" t="str">
        <f>IF(F8="","",IF(F8&lt;Assumptions!$B$11-0.005,"YES - Annual DSCR below covenant","No"))</f>
        <v>No</v>
      </c>
    </row>
    <row r="9" spans="1:7" ht="15" customHeight="1" x14ac:dyDescent="0.25">
      <c r="A9" s="28">
        <v>4</v>
      </c>
      <c r="B9" s="29">
        <f>IFERROR(INDEX(Sculpting_Schedule!D7:D106,MATCH(A9,Sculpting_Schedule!B7:B106,0)),0)</f>
        <v>248.96468935380938</v>
      </c>
      <c r="C9" s="29">
        <f>SUMIF(Sculpting_Schedule!B7:B106,A9,Sculpting_Schedule!K7:K106)</f>
        <v>19.072179810804144</v>
      </c>
      <c r="D9" s="29">
        <f>SUMIF(Sculpting_Schedule!B7:B106,A9,Sculpting_Schedule!G7:G106)</f>
        <v>20.927820189195856</v>
      </c>
      <c r="E9" s="29">
        <f t="shared" si="0"/>
        <v>229.89250954300525</v>
      </c>
      <c r="F9" s="30">
        <f>IFERROR(SUMIF(Sculpting_Schedule!$B$7:$B$106,A9,Sculpting_Schedule!$F$7:$F$106)/(SUMIF(Sculpting_Schedule!$B$7:$B$106,A9,Sculpting_Schedule!$G$7:$G$106)+SUMIF(Sculpting_Schedule!$B$7:$B$106,A9,Sculpting_Schedule!$I$7:$I$106)),"")</f>
        <v>1.5</v>
      </c>
      <c r="G9" s="28" t="str">
        <f>IF(F9="","",IF(F9&lt;Assumptions!$B$11-0.005,"YES - Annual DSCR below covenant","No"))</f>
        <v>No</v>
      </c>
    </row>
    <row r="10" spans="1:7" ht="15" customHeight="1" x14ac:dyDescent="0.25">
      <c r="A10" s="25">
        <v>5</v>
      </c>
      <c r="B10" s="26">
        <f>IFERROR(INDEX(Sculpting_Schedule!D7:D106,MATCH(A10,Sculpting_Schedule!B7:B106,0)),0)</f>
        <v>229.89250954300525</v>
      </c>
      <c r="C10" s="26">
        <f>SUMIF(Sculpting_Schedule!B7:B106,A10,Sculpting_Schedule!K7:K106)</f>
        <v>20.7762125789184</v>
      </c>
      <c r="D10" s="26">
        <f>SUMIF(Sculpting_Schedule!B7:B106,A10,Sculpting_Schedule!G7:G106)</f>
        <v>19.2237874210816</v>
      </c>
      <c r="E10" s="26">
        <f t="shared" si="0"/>
        <v>209.11629696408684</v>
      </c>
      <c r="F10" s="27">
        <f>IFERROR(SUMIF(Sculpting_Schedule!$B$7:$B$106,A10,Sculpting_Schedule!$F$7:$F$106)/(SUMIF(Sculpting_Schedule!$B$7:$B$106,A10,Sculpting_Schedule!$G$7:$G$106)+SUMIF(Sculpting_Schedule!$B$7:$B$106,A10,Sculpting_Schedule!$I$7:$I$106)),"")</f>
        <v>1.5</v>
      </c>
      <c r="G10" s="25" t="str">
        <f>IF(F10="","",IF(F10&lt;Assumptions!$B$11-0.005,"YES - Annual DSCR below covenant","No"))</f>
        <v>No</v>
      </c>
    </row>
    <row r="11" spans="1:7" ht="15" customHeight="1" x14ac:dyDescent="0.25">
      <c r="A11" s="28">
        <v>6</v>
      </c>
      <c r="B11" s="29">
        <f>IFERROR(INDEX(Sculpting_Schedule!D7:D106,MATCH(A11,Sculpting_Schedule!B7:B106,0)),0)</f>
        <v>209.11629696408687</v>
      </c>
      <c r="C11" s="29">
        <f>SUMIF(Sculpting_Schedule!B7:B106,A11,Sculpting_Schedule!K7:K106)</f>
        <v>22.632494733500913</v>
      </c>
      <c r="D11" s="29">
        <f>SUMIF(Sculpting_Schedule!B7:B106,A11,Sculpting_Schedule!G7:G106)</f>
        <v>17.367505266499087</v>
      </c>
      <c r="E11" s="29">
        <f t="shared" si="0"/>
        <v>186.48380223058595</v>
      </c>
      <c r="F11" s="30">
        <f>IFERROR(SUMIF(Sculpting_Schedule!$B$7:$B$106,A11,Sculpting_Schedule!$F$7:$F$106)/(SUMIF(Sculpting_Schedule!$B$7:$B$106,A11,Sculpting_Schedule!$G$7:$G$106)+SUMIF(Sculpting_Schedule!$B$7:$B$106,A11,Sculpting_Schedule!$I$7:$I$106)),"")</f>
        <v>1.5</v>
      </c>
      <c r="G11" s="28" t="str">
        <f>IF(F11="","",IF(F11&lt;Assumptions!$B$11-0.005,"YES - Annual DSCR below covenant","No"))</f>
        <v>No</v>
      </c>
    </row>
    <row r="12" spans="1:7" ht="15" customHeight="1" x14ac:dyDescent="0.25">
      <c r="A12" s="25">
        <v>7</v>
      </c>
      <c r="B12" s="26">
        <f>IFERROR(INDEX(Sculpting_Schedule!D7:D106,MATCH(A12,Sculpting_Schedule!B7:B106,0)),0)</f>
        <v>186.48380223058598</v>
      </c>
      <c r="C12" s="26">
        <f>SUMIF(Sculpting_Schedule!B7:B106,A12,Sculpting_Schedule!K7:K106)</f>
        <v>24.654629226392572</v>
      </c>
      <c r="D12" s="26">
        <f>SUMIF(Sculpting_Schedule!B7:B106,A12,Sculpting_Schedule!G7:G106)</f>
        <v>15.345370773607428</v>
      </c>
      <c r="E12" s="26">
        <f t="shared" si="0"/>
        <v>161.82917300419342</v>
      </c>
      <c r="F12" s="27">
        <f>IFERROR(SUMIF(Sculpting_Schedule!$B$7:$B$106,A12,Sculpting_Schedule!$F$7:$F$106)/(SUMIF(Sculpting_Schedule!$B$7:$B$106,A12,Sculpting_Schedule!$G$7:$G$106)+SUMIF(Sculpting_Schedule!$B$7:$B$106,A12,Sculpting_Schedule!$I$7:$I$106)),"")</f>
        <v>1.5</v>
      </c>
      <c r="G12" s="25" t="str">
        <f>IF(F12="","",IF(F12&lt;Assumptions!$B$11-0.005,"YES - Annual DSCR below covenant","No"))</f>
        <v>No</v>
      </c>
    </row>
    <row r="13" spans="1:7" ht="15" customHeight="1" x14ac:dyDescent="0.25">
      <c r="A13" s="28">
        <v>8</v>
      </c>
      <c r="B13" s="29">
        <f>IFERROR(INDEX(Sculpting_Schedule!D7:D106,MATCH(A13,Sculpting_Schedule!B7:B106,0)),0)</f>
        <v>161.82917300419342</v>
      </c>
      <c r="C13" s="29">
        <f>SUMIF(Sculpting_Schedule!B7:B106,A13,Sculpting_Schedule!K7:K106)</f>
        <v>26.857434385752541</v>
      </c>
      <c r="D13" s="29">
        <f>SUMIF(Sculpting_Schedule!B7:B106,A13,Sculpting_Schedule!G7:G106)</f>
        <v>13.142565614247456</v>
      </c>
      <c r="E13" s="29">
        <f t="shared" si="0"/>
        <v>134.9717386184409</v>
      </c>
      <c r="F13" s="30">
        <f>IFERROR(SUMIF(Sculpting_Schedule!$B$7:$B$106,A13,Sculpting_Schedule!$F$7:$F$106)/(SUMIF(Sculpting_Schedule!$B$7:$B$106,A13,Sculpting_Schedule!$G$7:$G$106)+SUMIF(Sculpting_Schedule!$B$7:$B$106,A13,Sculpting_Schedule!$I$7:$I$106)),"")</f>
        <v>1.5</v>
      </c>
      <c r="G13" s="28" t="str">
        <f>IF(F13="","",IF(F13&lt;Assumptions!$B$11-0.005,"YES - Annual DSCR below covenant","No"))</f>
        <v>No</v>
      </c>
    </row>
    <row r="14" spans="1:7" ht="15" customHeight="1" x14ac:dyDescent="0.25">
      <c r="A14" s="25">
        <v>9</v>
      </c>
      <c r="B14" s="26">
        <f>IFERROR(INDEX(Sculpting_Schedule!D7:D106,MATCH(A14,Sculpting_Schedule!B7:B106,0)),0)</f>
        <v>134.97173861844087</v>
      </c>
      <c r="C14" s="26">
        <f>SUMIF(Sculpting_Schedule!B7:B106,A14,Sculpting_Schedule!K7:K106)</f>
        <v>29.257052505694723</v>
      </c>
      <c r="D14" s="26">
        <f>SUMIF(Sculpting_Schedule!B7:B106,A14,Sculpting_Schedule!G7:G106)</f>
        <v>10.742947494305277</v>
      </c>
      <c r="E14" s="26">
        <f t="shared" si="0"/>
        <v>105.71468611274614</v>
      </c>
      <c r="F14" s="27">
        <f>IFERROR(SUMIF(Sculpting_Schedule!$B$7:$B$106,A14,Sculpting_Schedule!$F$7:$F$106)/(SUMIF(Sculpting_Schedule!$B$7:$B$106,A14,Sculpting_Schedule!$G$7:$G$106)+SUMIF(Sculpting_Schedule!$B$7:$B$106,A14,Sculpting_Schedule!$I$7:$I$106)),"")</f>
        <v>1.5</v>
      </c>
      <c r="G14" s="25" t="str">
        <f>IF(F14="","",IF(F14&lt;Assumptions!$B$11-0.005,"YES - Annual DSCR below covenant","No"))</f>
        <v>No</v>
      </c>
    </row>
    <row r="15" spans="1:7" ht="15" customHeight="1" x14ac:dyDescent="0.25">
      <c r="A15" s="28">
        <v>10</v>
      </c>
      <c r="B15" s="29">
        <f>IFERROR(INDEX(Sculpting_Schedule!D7:D106,MATCH(A15,Sculpting_Schedule!B7:B106,0)),0)</f>
        <v>105.71468611274615</v>
      </c>
      <c r="C15" s="29">
        <f>SUMIF(Sculpting_Schedule!B7:B106,A15,Sculpting_Schedule!K7:K106)</f>
        <v>31.871068138029578</v>
      </c>
      <c r="D15" s="29">
        <f>SUMIF(Sculpting_Schedule!B7:B106,A15,Sculpting_Schedule!G7:G106)</f>
        <v>8.1289318619704236</v>
      </c>
      <c r="E15" s="29">
        <f t="shared" si="0"/>
        <v>73.84361797471658</v>
      </c>
      <c r="F15" s="30">
        <f>IFERROR(SUMIF(Sculpting_Schedule!$B$7:$B$106,A15,Sculpting_Schedule!$F$7:$F$106)/(SUMIF(Sculpting_Schedule!$B$7:$B$106,A15,Sculpting_Schedule!$G$7:$G$106)+SUMIF(Sculpting_Schedule!$B$7:$B$106,A15,Sculpting_Schedule!$I$7:$I$106)),"")</f>
        <v>1.5</v>
      </c>
      <c r="G15" s="28" t="str">
        <f>IF(F15="","",IF(F15&lt;Assumptions!$B$11-0.005,"YES - Annual DSCR below covenant","No"))</f>
        <v>No</v>
      </c>
    </row>
    <row r="16" spans="1:7" ht="15" customHeight="1" x14ac:dyDescent="0.25">
      <c r="A16" s="25">
        <v>11</v>
      </c>
      <c r="B16" s="26">
        <f>IFERROR(INDEX(Sculpting_Schedule!D7:D106,MATCH(A16,Sculpting_Schedule!B7:B106,0)),0)</f>
        <v>73.843617974716565</v>
      </c>
      <c r="C16" s="26">
        <f>SUMIF(Sculpting_Schedule!B7:B106,A16,Sculpting_Schedule!K7:K106)</f>
        <v>34.718636952960694</v>
      </c>
      <c r="D16" s="26">
        <f>SUMIF(Sculpting_Schedule!B7:B106,A16,Sculpting_Schedule!G7:G106)</f>
        <v>5.2813630470393056</v>
      </c>
      <c r="E16" s="26">
        <f t="shared" si="0"/>
        <v>39.124981021755872</v>
      </c>
      <c r="F16" s="27">
        <f>IFERROR(SUMIF(Sculpting_Schedule!$B$7:$B$106,A16,Sculpting_Schedule!$F$7:$F$106)/(SUMIF(Sculpting_Schedule!$B$7:$B$106,A16,Sculpting_Schedule!$G$7:$G$106)+SUMIF(Sculpting_Schedule!$B$7:$B$106,A16,Sculpting_Schedule!$I$7:$I$106)),"")</f>
        <v>1.5</v>
      </c>
      <c r="G16" s="25" t="str">
        <f>IF(F16="","",IF(F16&lt;Assumptions!$B$11-0.005,"YES - Annual DSCR below covenant","No"))</f>
        <v>No</v>
      </c>
    </row>
    <row r="17" spans="1:7" ht="15" customHeight="1" x14ac:dyDescent="0.25">
      <c r="A17" s="28">
        <v>12</v>
      </c>
      <c r="B17" s="29">
        <f>IFERROR(INDEX(Sculpting_Schedule!D7:D106,MATCH(A17,Sculpting_Schedule!B7:B106,0)),0)</f>
        <v>39.124981021755872</v>
      </c>
      <c r="C17" s="29">
        <f>SUMIF(Sculpting_Schedule!B7:B106,A17,Sculpting_Schedule!K7:K106)</f>
        <v>37.820626113035274</v>
      </c>
      <c r="D17" s="29">
        <f>SUMIF(Sculpting_Schedule!B7:B106,A17,Sculpting_Schedule!G7:G106)</f>
        <v>2.1793738869647274</v>
      </c>
      <c r="E17" s="29">
        <f t="shared" si="0"/>
        <v>1.3043549087205975</v>
      </c>
      <c r="F17" s="30">
        <f>IFERROR(SUMIF(Sculpting_Schedule!$B$7:$B$106,A17,Sculpting_Schedule!$F$7:$F$106)/(SUMIF(Sculpting_Schedule!$B$7:$B$106,A17,Sculpting_Schedule!$G$7:$G$106)+SUMIF(Sculpting_Schedule!$B$7:$B$106,A17,Sculpting_Schedule!$I$7:$I$106)),"")</f>
        <v>1.5</v>
      </c>
      <c r="G17" s="28" t="str">
        <f>IF(F17="","",IF(F17&lt;Assumptions!$B$11-0.005,"YES - Annual DSCR below covenant","No"))</f>
        <v>No</v>
      </c>
    </row>
    <row r="18" spans="1:7" ht="15" customHeight="1" x14ac:dyDescent="0.25">
      <c r="A18" s="25">
        <v>13</v>
      </c>
      <c r="B18" s="26">
        <f>IFERROR(INDEX(Sculpting_Schedule!D7:D106,MATCH(A18,Sculpting_Schedule!B7:B106,0)),0)</f>
        <v>1.3043549087205975</v>
      </c>
      <c r="C18" s="26">
        <f>SUMIF(Sculpting_Schedule!B7:B106,A18,Sculpting_Schedule!K7:K106)</f>
        <v>1.3043549087205975</v>
      </c>
      <c r="D18" s="26">
        <f>SUMIF(Sculpting_Schedule!B7:B106,A18,Sculpting_Schedule!G7:G106)</f>
        <v>2.8206674901082918E-2</v>
      </c>
      <c r="E18" s="26">
        <f t="shared" si="0"/>
        <v>0</v>
      </c>
      <c r="F18" s="27">
        <f>IFERROR(SUMIF(Sculpting_Schedule!$B$7:$B$106,A18,Sculpting_Schedule!$F$7:$F$106)/(SUMIF(Sculpting_Schedule!$B$7:$B$106,A18,Sculpting_Schedule!$G$7:$G$106)+SUMIF(Sculpting_Schedule!$B$7:$B$106,A18,Sculpting_Schedule!$I$7:$I$106)),"")</f>
        <v>45.02606163756424</v>
      </c>
      <c r="G18" s="25" t="str">
        <f>IF(F18="","",IF(F18&lt;Assumptions!$B$11-0.005,"YES - Annual DSCR below covenant","No"))</f>
        <v>No</v>
      </c>
    </row>
    <row r="19" spans="1:7" ht="15" customHeight="1" x14ac:dyDescent="0.25">
      <c r="A19" s="28">
        <v>14</v>
      </c>
      <c r="B19" s="29">
        <f>IFERROR(INDEX(Sculpting_Schedule!D7:D106,MATCH(A19,Sculpting_Schedule!B7:B106,0)),0)</f>
        <v>0</v>
      </c>
      <c r="C19" s="29">
        <f>SUMIF(Sculpting_Schedule!B7:B106,A19,Sculpting_Schedule!K7:K106)</f>
        <v>0</v>
      </c>
      <c r="D19" s="29">
        <f>SUMIF(Sculpting_Schedule!B7:B106,A19,Sculpting_Schedule!G7:G106)</f>
        <v>0</v>
      </c>
      <c r="E19" s="29">
        <f t="shared" si="0"/>
        <v>0</v>
      </c>
      <c r="F19" s="30" t="str">
        <f>IFERROR(SUMIF(Sculpting_Schedule!$B$7:$B$106,A19,Sculpting_Schedule!$F$7:$F$106)/(SUMIF(Sculpting_Schedule!$B$7:$B$106,A19,Sculpting_Schedule!$G$7:$G$106)+SUMIF(Sculpting_Schedule!$B$7:$B$106,A19,Sculpting_Schedule!$I$7:$I$106)),"")</f>
        <v/>
      </c>
      <c r="G19" s="28" t="str">
        <f>IF(F19="","",IF(F19&lt;Assumptions!$B$11-0.005,"YES - Annual DSCR below covenant","No"))</f>
        <v/>
      </c>
    </row>
    <row r="20" spans="1:7" ht="15" customHeight="1" x14ac:dyDescent="0.25">
      <c r="A20" s="25">
        <v>15</v>
      </c>
      <c r="B20" s="26">
        <f>IFERROR(INDEX(Sculpting_Schedule!D7:D106,MATCH(A20,Sculpting_Schedule!B7:B106,0)),0)</f>
        <v>0</v>
      </c>
      <c r="C20" s="26">
        <f>SUMIF(Sculpting_Schedule!B7:B106,A20,Sculpting_Schedule!K7:K106)</f>
        <v>0</v>
      </c>
      <c r="D20" s="26">
        <f>SUMIF(Sculpting_Schedule!B7:B106,A20,Sculpting_Schedule!G7:G106)</f>
        <v>0</v>
      </c>
      <c r="E20" s="26">
        <f t="shared" si="0"/>
        <v>0</v>
      </c>
      <c r="F20" s="27" t="str">
        <f>IFERROR(SUMIF(Sculpting_Schedule!$B$7:$B$106,A20,Sculpting_Schedule!$F$7:$F$106)/(SUMIF(Sculpting_Schedule!$B$7:$B$106,A20,Sculpting_Schedule!$G$7:$G$106)+SUMIF(Sculpting_Schedule!$B$7:$B$106,A20,Sculpting_Schedule!$I$7:$I$106)),"")</f>
        <v/>
      </c>
      <c r="G20" s="25" t="str">
        <f>IF(F20="","",IF(F20&lt;Assumptions!$B$11-0.005,"YES - Annual DSCR below covenant","No"))</f>
        <v/>
      </c>
    </row>
    <row r="21" spans="1:7" ht="15" customHeight="1" x14ac:dyDescent="0.25">
      <c r="A21" s="28">
        <v>16</v>
      </c>
      <c r="B21" s="29">
        <f>IFERROR(INDEX(Sculpting_Schedule!D7:D106,MATCH(A21,Sculpting_Schedule!B7:B106,0)),0)</f>
        <v>0</v>
      </c>
      <c r="C21" s="29">
        <f>SUMIF(Sculpting_Schedule!B7:B106,A21,Sculpting_Schedule!K7:K106)</f>
        <v>0</v>
      </c>
      <c r="D21" s="29">
        <f>SUMIF(Sculpting_Schedule!B7:B106,A21,Sculpting_Schedule!G7:G106)</f>
        <v>0</v>
      </c>
      <c r="E21" s="29">
        <f t="shared" si="0"/>
        <v>0</v>
      </c>
      <c r="F21" s="30" t="str">
        <f>IFERROR(SUMIF(Sculpting_Schedule!$B$7:$B$106,A21,Sculpting_Schedule!$F$7:$F$106)/(SUMIF(Sculpting_Schedule!$B$7:$B$106,A21,Sculpting_Schedule!$G$7:$G$106)+SUMIF(Sculpting_Schedule!$B$7:$B$106,A21,Sculpting_Schedule!$I$7:$I$106)),"")</f>
        <v/>
      </c>
      <c r="G21" s="28" t="str">
        <f>IF(F21="","",IF(F21&lt;Assumptions!$B$11-0.005,"YES - Annual DSCR below covenant","No"))</f>
        <v/>
      </c>
    </row>
    <row r="22" spans="1:7" ht="15" customHeight="1" x14ac:dyDescent="0.25">
      <c r="A22" s="25">
        <v>17</v>
      </c>
      <c r="B22" s="26">
        <f>IFERROR(INDEX(Sculpting_Schedule!D7:D106,MATCH(A22,Sculpting_Schedule!B7:B106,0)),0)</f>
        <v>0</v>
      </c>
      <c r="C22" s="26">
        <f>SUMIF(Sculpting_Schedule!B7:B106,A22,Sculpting_Schedule!K7:K106)</f>
        <v>0</v>
      </c>
      <c r="D22" s="26">
        <f>SUMIF(Sculpting_Schedule!B7:B106,A22,Sculpting_Schedule!G7:G106)</f>
        <v>0</v>
      </c>
      <c r="E22" s="26">
        <f t="shared" si="0"/>
        <v>0</v>
      </c>
      <c r="F22" s="27" t="str">
        <f>IFERROR(SUMIF(Sculpting_Schedule!$B$7:$B$106,A22,Sculpting_Schedule!$F$7:$F$106)/(SUMIF(Sculpting_Schedule!$B$7:$B$106,A22,Sculpting_Schedule!$G$7:$G$106)+SUMIF(Sculpting_Schedule!$B$7:$B$106,A22,Sculpting_Schedule!$I$7:$I$106)),"")</f>
        <v/>
      </c>
      <c r="G22" s="25" t="str">
        <f>IF(F22="","",IF(F22&lt;Assumptions!$B$11-0.005,"YES - Annual DSCR below covenant","No"))</f>
        <v/>
      </c>
    </row>
    <row r="23" spans="1:7" ht="15" customHeight="1" x14ac:dyDescent="0.25">
      <c r="A23" s="28">
        <v>18</v>
      </c>
      <c r="B23" s="29">
        <f>IFERROR(INDEX(Sculpting_Schedule!D7:D106,MATCH(A23,Sculpting_Schedule!B7:B106,0)),0)</f>
        <v>0</v>
      </c>
      <c r="C23" s="29">
        <f>SUMIF(Sculpting_Schedule!B7:B106,A23,Sculpting_Schedule!K7:K106)</f>
        <v>0</v>
      </c>
      <c r="D23" s="29">
        <f>SUMIF(Sculpting_Schedule!B7:B106,A23,Sculpting_Schedule!G7:G106)</f>
        <v>0</v>
      </c>
      <c r="E23" s="29">
        <f t="shared" si="0"/>
        <v>0</v>
      </c>
      <c r="F23" s="30" t="str">
        <f>IFERROR(SUMIF(Sculpting_Schedule!$B$7:$B$106,A23,Sculpting_Schedule!$F$7:$F$106)/(SUMIF(Sculpting_Schedule!$B$7:$B$106,A23,Sculpting_Schedule!$G$7:$G$106)+SUMIF(Sculpting_Schedule!$B$7:$B$106,A23,Sculpting_Schedule!$I$7:$I$106)),"")</f>
        <v/>
      </c>
      <c r="G23" s="28" t="str">
        <f>IF(F23="","",IF(F23&lt;Assumptions!$B$11-0.005,"YES - Annual DSCR below covenant","No"))</f>
        <v/>
      </c>
    </row>
    <row r="24" spans="1:7" ht="15" customHeight="1" x14ac:dyDescent="0.25">
      <c r="A24" s="25">
        <v>19</v>
      </c>
      <c r="B24" s="26">
        <f>IFERROR(INDEX(Sculpting_Schedule!D7:D106,MATCH(A24,Sculpting_Schedule!B7:B106,0)),0)</f>
        <v>0</v>
      </c>
      <c r="C24" s="26">
        <f>SUMIF(Sculpting_Schedule!B7:B106,A24,Sculpting_Schedule!K7:K106)</f>
        <v>0</v>
      </c>
      <c r="D24" s="26">
        <f>SUMIF(Sculpting_Schedule!B7:B106,A24,Sculpting_Schedule!G7:G106)</f>
        <v>0</v>
      </c>
      <c r="E24" s="26">
        <f t="shared" si="0"/>
        <v>0</v>
      </c>
      <c r="F24" s="27" t="str">
        <f>IFERROR(SUMIF(Sculpting_Schedule!$B$7:$B$106,A24,Sculpting_Schedule!$F$7:$F$106)/(SUMIF(Sculpting_Schedule!$B$7:$B$106,A24,Sculpting_Schedule!$G$7:$G$106)+SUMIF(Sculpting_Schedule!$B$7:$B$106,A24,Sculpting_Schedule!$I$7:$I$106)),"")</f>
        <v/>
      </c>
      <c r="G24" s="25" t="str">
        <f>IF(F24="","",IF(F24&lt;Assumptions!$B$11-0.005,"YES - Annual DSCR below covenant","No"))</f>
        <v/>
      </c>
    </row>
    <row r="25" spans="1:7" ht="15" customHeight="1" x14ac:dyDescent="0.25">
      <c r="A25" s="28">
        <v>20</v>
      </c>
      <c r="B25" s="29">
        <f>IFERROR(INDEX(Sculpting_Schedule!D7:D106,MATCH(A25,Sculpting_Schedule!B7:B106,0)),0)</f>
        <v>0</v>
      </c>
      <c r="C25" s="29">
        <f>SUMIF(Sculpting_Schedule!B7:B106,A25,Sculpting_Schedule!K7:K106)</f>
        <v>0</v>
      </c>
      <c r="D25" s="29">
        <f>SUMIF(Sculpting_Schedule!B7:B106,A25,Sculpting_Schedule!G7:G106)</f>
        <v>0</v>
      </c>
      <c r="E25" s="29">
        <f t="shared" si="0"/>
        <v>0</v>
      </c>
      <c r="F25" s="30" t="str">
        <f>IFERROR(SUMIF(Sculpting_Schedule!$B$7:$B$106,A25,Sculpting_Schedule!$F$7:$F$106)/(SUMIF(Sculpting_Schedule!$B$7:$B$106,A25,Sculpting_Schedule!$G$7:$G$106)+SUMIF(Sculpting_Schedule!$B$7:$B$106,A25,Sculpting_Schedule!$I$7:$I$106)),"")</f>
        <v/>
      </c>
      <c r="G25" s="28" t="str">
        <f>IF(F25="","",IF(F25&lt;Assumptions!$B$11-0.005,"YES - Annual DSCR below covenant","No"))</f>
        <v/>
      </c>
    </row>
    <row r="26" spans="1:7" ht="15" customHeight="1" x14ac:dyDescent="0.25">
      <c r="A26" s="25">
        <v>21</v>
      </c>
      <c r="B26" s="26">
        <f>IFERROR(INDEX(Sculpting_Schedule!D7:D106,MATCH(A26,Sculpting_Schedule!B7:B106,0)),0)</f>
        <v>0</v>
      </c>
      <c r="C26" s="26">
        <f>SUMIF(Sculpting_Schedule!B7:B106,A26,Sculpting_Schedule!K7:K106)</f>
        <v>0</v>
      </c>
      <c r="D26" s="26">
        <f>SUMIF(Sculpting_Schedule!B7:B106,A26,Sculpting_Schedule!G7:G106)</f>
        <v>0</v>
      </c>
      <c r="E26" s="26">
        <f t="shared" si="0"/>
        <v>0</v>
      </c>
      <c r="F26" s="27" t="str">
        <f>IFERROR(SUMIF(Sculpting_Schedule!$B$7:$B$106,A26,Sculpting_Schedule!$F$7:$F$106)/(SUMIF(Sculpting_Schedule!$B$7:$B$106,A26,Sculpting_Schedule!$G$7:$G$106)+SUMIF(Sculpting_Schedule!$B$7:$B$106,A26,Sculpting_Schedule!$I$7:$I$106)),"")</f>
        <v/>
      </c>
      <c r="G26" s="25" t="str">
        <f>IF(F26="","",IF(F26&lt;Assumptions!$B$11-0.005,"YES - Annual DSCR below covenant","No"))</f>
        <v/>
      </c>
    </row>
    <row r="27" spans="1:7" ht="15" customHeight="1" x14ac:dyDescent="0.25">
      <c r="A27" s="28">
        <v>22</v>
      </c>
      <c r="B27" s="29">
        <f>IFERROR(INDEX(Sculpting_Schedule!D7:D106,MATCH(A27,Sculpting_Schedule!B7:B106,0)),0)</f>
        <v>0</v>
      </c>
      <c r="C27" s="29">
        <f>SUMIF(Sculpting_Schedule!B7:B106,A27,Sculpting_Schedule!K7:K106)</f>
        <v>0</v>
      </c>
      <c r="D27" s="29">
        <f>SUMIF(Sculpting_Schedule!B7:B106,A27,Sculpting_Schedule!G7:G106)</f>
        <v>0</v>
      </c>
      <c r="E27" s="29">
        <f t="shared" si="0"/>
        <v>0</v>
      </c>
      <c r="F27" s="30" t="str">
        <f>IFERROR(SUMIF(Sculpting_Schedule!$B$7:$B$106,A27,Sculpting_Schedule!$F$7:$F$106)/(SUMIF(Sculpting_Schedule!$B$7:$B$106,A27,Sculpting_Schedule!$G$7:$G$106)+SUMIF(Sculpting_Schedule!$B$7:$B$106,A27,Sculpting_Schedule!$I$7:$I$106)),"")</f>
        <v/>
      </c>
      <c r="G27" s="28" t="str">
        <f>IF(F27="","",IF(F27&lt;Assumptions!$B$11-0.005,"YES - Annual DSCR below covenant","No"))</f>
        <v/>
      </c>
    </row>
    <row r="28" spans="1:7" ht="15" customHeight="1" x14ac:dyDescent="0.25">
      <c r="A28" s="25">
        <v>23</v>
      </c>
      <c r="B28" s="26">
        <f>IFERROR(INDEX(Sculpting_Schedule!D7:D106,MATCH(A28,Sculpting_Schedule!B7:B106,0)),0)</f>
        <v>0</v>
      </c>
      <c r="C28" s="26">
        <f>SUMIF(Sculpting_Schedule!B7:B106,A28,Sculpting_Schedule!K7:K106)</f>
        <v>0</v>
      </c>
      <c r="D28" s="26">
        <f>SUMIF(Sculpting_Schedule!B7:B106,A28,Sculpting_Schedule!G7:G106)</f>
        <v>0</v>
      </c>
      <c r="E28" s="26">
        <f t="shared" si="0"/>
        <v>0</v>
      </c>
      <c r="F28" s="27" t="str">
        <f>IFERROR(SUMIF(Sculpting_Schedule!$B$7:$B$106,A28,Sculpting_Schedule!$F$7:$F$106)/(SUMIF(Sculpting_Schedule!$B$7:$B$106,A28,Sculpting_Schedule!$G$7:$G$106)+SUMIF(Sculpting_Schedule!$B$7:$B$106,A28,Sculpting_Schedule!$I$7:$I$106)),"")</f>
        <v/>
      </c>
      <c r="G28" s="25" t="str">
        <f>IF(F28="","",IF(F28&lt;Assumptions!$B$11-0.005,"YES - Annual DSCR below covenant","No"))</f>
        <v/>
      </c>
    </row>
    <row r="29" spans="1:7" ht="15" customHeight="1" x14ac:dyDescent="0.25">
      <c r="A29" s="28">
        <v>24</v>
      </c>
      <c r="B29" s="29">
        <f>IFERROR(INDEX(Sculpting_Schedule!D7:D106,MATCH(A29,Sculpting_Schedule!B7:B106,0)),0)</f>
        <v>0</v>
      </c>
      <c r="C29" s="29">
        <f>SUMIF(Sculpting_Schedule!B7:B106,A29,Sculpting_Schedule!K7:K106)</f>
        <v>0</v>
      </c>
      <c r="D29" s="29">
        <f>SUMIF(Sculpting_Schedule!B7:B106,A29,Sculpting_Schedule!G7:G106)</f>
        <v>0</v>
      </c>
      <c r="E29" s="29">
        <f t="shared" si="0"/>
        <v>0</v>
      </c>
      <c r="F29" s="30" t="str">
        <f>IFERROR(SUMIF(Sculpting_Schedule!$B$7:$B$106,A29,Sculpting_Schedule!$F$7:$F$106)/(SUMIF(Sculpting_Schedule!$B$7:$B$106,A29,Sculpting_Schedule!$G$7:$G$106)+SUMIF(Sculpting_Schedule!$B$7:$B$106,A29,Sculpting_Schedule!$I$7:$I$106)),"")</f>
        <v/>
      </c>
      <c r="G29" s="28" t="str">
        <f>IF(F29="","",IF(F29&lt;Assumptions!$B$11-0.005,"YES - Annual DSCR below covenant","No"))</f>
        <v/>
      </c>
    </row>
    <row r="30" spans="1:7" ht="15" customHeight="1" x14ac:dyDescent="0.25">
      <c r="A30" s="25">
        <v>25</v>
      </c>
      <c r="B30" s="26">
        <f>IFERROR(INDEX(Sculpting_Schedule!D7:D106,MATCH(A30,Sculpting_Schedule!B7:B106,0)),0)</f>
        <v>0</v>
      </c>
      <c r="C30" s="26">
        <f>SUMIF(Sculpting_Schedule!B7:B106,A30,Sculpting_Schedule!K7:K106)</f>
        <v>0</v>
      </c>
      <c r="D30" s="26">
        <f>SUMIF(Sculpting_Schedule!B7:B106,A30,Sculpting_Schedule!G7:G106)</f>
        <v>0</v>
      </c>
      <c r="E30" s="26">
        <f t="shared" si="0"/>
        <v>0</v>
      </c>
      <c r="F30" s="27" t="str">
        <f>IFERROR(SUMIF(Sculpting_Schedule!$B$7:$B$106,A30,Sculpting_Schedule!$F$7:$F$106)/(SUMIF(Sculpting_Schedule!$B$7:$B$106,A30,Sculpting_Schedule!$G$7:$G$106)+SUMIF(Sculpting_Schedule!$B$7:$B$106,A30,Sculpting_Schedule!$I$7:$I$106)),"")</f>
        <v/>
      </c>
      <c r="G30" s="25" t="str">
        <f>IF(F30="","",IF(F30&lt;Assumptions!$B$11-0.005,"YES - Annual DSCR below covenant","No"))</f>
        <v/>
      </c>
    </row>
    <row r="32" spans="1:7" ht="31.5" customHeight="1" x14ac:dyDescent="0.25">
      <c r="A32" s="87" t="s">
        <v>114</v>
      </c>
      <c r="B32" s="87"/>
      <c r="C32" s="87"/>
      <c r="D32" s="87"/>
      <c r="E32" s="87"/>
      <c r="F32" s="87"/>
      <c r="G32" s="87"/>
    </row>
  </sheetData>
  <mergeCells count="3">
    <mergeCell ref="A2:G2"/>
    <mergeCell ref="A3:G3"/>
    <mergeCell ref="A32:G32"/>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09"/>
  <sheetViews>
    <sheetView showGridLines="0" zoomScaleNormal="100" workbookViewId="0">
      <pane ySplit="6" topLeftCell="A7" activePane="bottomLeft" state="frozen"/>
      <selection pane="bottomLeft" activeCell="L16" sqref="L16"/>
    </sheetView>
  </sheetViews>
  <sheetFormatPr defaultColWidth="8.5703125" defaultRowHeight="15" x14ac:dyDescent="0.25"/>
  <cols>
    <col min="1" max="2" width="8" style="2" customWidth="1"/>
    <col min="3" max="3" width="10" style="2" customWidth="1"/>
    <col min="4" max="4" width="11" style="2" customWidth="1"/>
    <col min="5" max="5" width="9" style="2" customWidth="1"/>
    <col min="6" max="7" width="10" style="2" customWidth="1"/>
    <col min="8" max="8" width="13" style="2" customWidth="1"/>
    <col min="9" max="9" width="11" style="2" customWidth="1"/>
    <col min="10" max="10" width="8" style="2" customWidth="1"/>
    <col min="11" max="11" width="16" style="2" customWidth="1"/>
    <col min="12" max="12" width="12" style="21" customWidth="1"/>
    <col min="13" max="16384" width="8.5703125" style="2"/>
  </cols>
  <sheetData>
    <row r="1" spans="1:12" ht="20.25" x14ac:dyDescent="0.3">
      <c r="A1" s="1" t="str">
        <f>Annual_Summary!A1</f>
        <v>camsroy.com</v>
      </c>
      <c r="B1" s="1"/>
      <c r="C1" s="1"/>
      <c r="D1" s="1"/>
      <c r="E1" s="1"/>
      <c r="F1" s="1"/>
      <c r="G1" s="1"/>
      <c r="H1" s="1"/>
      <c r="I1" s="1"/>
      <c r="J1" s="1"/>
      <c r="K1" s="1"/>
    </row>
    <row r="2" spans="1:12" ht="27.75" customHeight="1" x14ac:dyDescent="0.25">
      <c r="A2" s="100" t="s">
        <v>115</v>
      </c>
      <c r="B2" s="100"/>
      <c r="C2" s="100"/>
      <c r="D2" s="100"/>
      <c r="E2" s="100"/>
      <c r="F2" s="100"/>
      <c r="G2" s="100"/>
      <c r="H2" s="100"/>
      <c r="I2" s="100"/>
      <c r="J2" s="100"/>
      <c r="K2" s="100"/>
    </row>
    <row r="3" spans="1:12" ht="19.5" customHeight="1" x14ac:dyDescent="0.25">
      <c r="A3" s="95" t="s">
        <v>116</v>
      </c>
      <c r="B3" s="95"/>
      <c r="C3" s="95"/>
      <c r="D3" s="95"/>
      <c r="E3" s="95"/>
      <c r="F3" s="95"/>
      <c r="G3" s="95"/>
      <c r="H3" s="95"/>
      <c r="I3" s="95"/>
      <c r="J3" s="95"/>
      <c r="K3" s="95"/>
    </row>
    <row r="4" spans="1:12" ht="6" customHeight="1" x14ac:dyDescent="0.25">
      <c r="A4" s="92"/>
      <c r="B4" s="92"/>
      <c r="C4" s="92"/>
      <c r="D4" s="92"/>
      <c r="E4" s="92"/>
      <c r="F4" s="92"/>
      <c r="G4" s="92"/>
      <c r="H4" s="92"/>
      <c r="I4" s="92"/>
      <c r="J4" s="92"/>
      <c r="K4" s="92"/>
    </row>
    <row r="6" spans="1:12" ht="43.5" customHeight="1" x14ac:dyDescent="0.25">
      <c r="A6" s="6" t="s">
        <v>85</v>
      </c>
      <c r="B6" s="6" t="s">
        <v>86</v>
      </c>
      <c r="C6" s="6" t="s">
        <v>87</v>
      </c>
      <c r="D6" s="6" t="s">
        <v>88</v>
      </c>
      <c r="E6" s="6" t="s">
        <v>48</v>
      </c>
      <c r="F6" s="6" t="s">
        <v>117</v>
      </c>
      <c r="G6" s="6" t="s">
        <v>118</v>
      </c>
      <c r="H6" s="6" t="s">
        <v>119</v>
      </c>
      <c r="I6" s="6" t="s">
        <v>120</v>
      </c>
      <c r="J6" s="6" t="s">
        <v>97</v>
      </c>
      <c r="K6" s="6" t="s">
        <v>98</v>
      </c>
      <c r="L6" s="22" t="s">
        <v>121</v>
      </c>
    </row>
    <row r="7" spans="1:12" ht="15" customHeight="1" x14ac:dyDescent="0.25">
      <c r="A7" s="7">
        <v>1</v>
      </c>
      <c r="B7" s="7">
        <f t="shared" ref="B7:B38" si="0">ROUNDUP(A7/4,0)</f>
        <v>1</v>
      </c>
      <c r="C7" s="7" t="str">
        <f>IF(A7&gt;Assumptions!$B$14,"Closed",IF(A7&lt;=Assumptions!$B$12,"Moratorium","Repayment"))</f>
        <v>Moratorium</v>
      </c>
      <c r="D7" s="8">
        <f>Sculpting_Schedule!D7</f>
        <v>371.76</v>
      </c>
      <c r="E7" s="7">
        <f>MIN(10,ROUNDUP(A7/MAX(1,Assumptions!$B$64),0))</f>
        <v>1</v>
      </c>
      <c r="F7" s="18">
        <f>INDEX(Assumptions!$C$66:$C$75,E7)</f>
        <v>8.6499999999999994E-2</v>
      </c>
      <c r="G7" s="8">
        <f t="shared" ref="G7:G38" si="1">D7*F7/4</f>
        <v>8.0393099999999986</v>
      </c>
      <c r="H7" s="8">
        <f>Sculpting_Schedule!I7</f>
        <v>0</v>
      </c>
      <c r="I7" s="8">
        <f t="shared" ref="I7:I38" si="2">G7+H7</f>
        <v>8.0393099999999986</v>
      </c>
      <c r="J7" s="9">
        <f>IF(OR(A7&gt;Assumptions!$B$14,I7=0),"",Sculpting_Schedule!F7/I7)</f>
        <v>1.8658317691443671</v>
      </c>
      <c r="K7" s="7" t="str">
        <f>IF(A7&gt;Assumptions!$B$14,"Closed",IF(A7&lt;=Assumptions!$B$12,"Moratorium",IF(D7=0,"Closed (Repaid Early)",IF(J7&lt;Assumptions!$B$11-0.005,"BREACH - rate reset risk","OK"))))</f>
        <v>Moratorium</v>
      </c>
      <c r="L7" s="23">
        <f>Sculpting_Schedule!J7</f>
        <v>0</v>
      </c>
    </row>
    <row r="8" spans="1:12" ht="15" customHeight="1" x14ac:dyDescent="0.25">
      <c r="A8" s="7">
        <v>2</v>
      </c>
      <c r="B8" s="7">
        <f t="shared" si="0"/>
        <v>1</v>
      </c>
      <c r="C8" s="7" t="str">
        <f>IF(A8&gt;Assumptions!$B$14,"Closed",IF(A8&lt;=Assumptions!$B$12,"Moratorium","Repayment"))</f>
        <v>Moratorium</v>
      </c>
      <c r="D8" s="8">
        <f>Sculpting_Schedule!D8</f>
        <v>371.76</v>
      </c>
      <c r="E8" s="7">
        <f>MIN(10,ROUNDUP(A8/MAX(1,Assumptions!$B$64),0))</f>
        <v>1</v>
      </c>
      <c r="F8" s="18">
        <f>INDEX(Assumptions!$C$66:$C$75,E8)</f>
        <v>8.6499999999999994E-2</v>
      </c>
      <c r="G8" s="8">
        <f t="shared" si="1"/>
        <v>8.0393099999999986</v>
      </c>
      <c r="H8" s="8">
        <f>Sculpting_Schedule!I8</f>
        <v>0</v>
      </c>
      <c r="I8" s="8">
        <f t="shared" si="2"/>
        <v>8.0393099999999986</v>
      </c>
      <c r="J8" s="9">
        <f>IF(OR(A8&gt;Assumptions!$B$14,I8=0),"",Sculpting_Schedule!F8/I8)</f>
        <v>1.8658317691443671</v>
      </c>
      <c r="K8" s="7" t="str">
        <f>IF(A8&gt;Assumptions!$B$14,"Closed",IF(A8&lt;=Assumptions!$B$12,"Moratorium",IF(D8=0,"Closed (Repaid Early)",IF(J8&lt;Assumptions!$B$11-0.005,"BREACH - rate reset risk","OK"))))</f>
        <v>Moratorium</v>
      </c>
      <c r="L8" s="23">
        <f>Sculpting_Schedule!J8</f>
        <v>0</v>
      </c>
    </row>
    <row r="9" spans="1:12" ht="15" customHeight="1" x14ac:dyDescent="0.25">
      <c r="A9" s="10">
        <v>3</v>
      </c>
      <c r="B9" s="10">
        <f t="shared" si="0"/>
        <v>1</v>
      </c>
      <c r="C9" s="10" t="str">
        <f>IF(A9&gt;Assumptions!$B$14,"Closed",IF(A9&lt;=Assumptions!$B$12,"Moratorium","Repayment"))</f>
        <v>Repayment</v>
      </c>
      <c r="D9" s="11">
        <f>Sculpting_Schedule!D9</f>
        <v>371.76</v>
      </c>
      <c r="E9" s="10">
        <f>MIN(10,ROUNDUP(A9/MAX(1,Assumptions!$B$64),0))</f>
        <v>1</v>
      </c>
      <c r="F9" s="19">
        <f>INDEX(Assumptions!$C$66:$C$75,E9)</f>
        <v>8.6499999999999994E-2</v>
      </c>
      <c r="G9" s="11">
        <f t="shared" si="1"/>
        <v>8.0393099999999986</v>
      </c>
      <c r="H9" s="11">
        <f>Sculpting_Schedule!I9</f>
        <v>1.9606900000000014</v>
      </c>
      <c r="I9" s="11">
        <f t="shared" si="2"/>
        <v>10</v>
      </c>
      <c r="J9" s="12">
        <f>IF(OR(A9&gt;Assumptions!$B$14,I9=0),"",Sculpting_Schedule!F9/I9)</f>
        <v>1.5</v>
      </c>
      <c r="K9" s="10" t="str">
        <f>IF(A9&gt;Assumptions!$B$14,"Closed",IF(A9&lt;=Assumptions!$B$12,"Moratorium",IF(D9=0,"Closed (Repaid Early)",IF(J9&lt;Assumptions!$B$11-0.005,"BREACH - rate reset risk","OK"))))</f>
        <v>OK</v>
      </c>
      <c r="L9" s="23">
        <f>Sculpting_Schedule!J9</f>
        <v>18</v>
      </c>
    </row>
    <row r="10" spans="1:12" ht="15" customHeight="1" x14ac:dyDescent="0.25">
      <c r="A10" s="13">
        <v>4</v>
      </c>
      <c r="B10" s="13">
        <f t="shared" si="0"/>
        <v>1</v>
      </c>
      <c r="C10" s="13" t="str">
        <f>IF(A10&gt;Assumptions!$B$14,"Closed",IF(A10&lt;=Assumptions!$B$12,"Moratorium","Repayment"))</f>
        <v>Repayment</v>
      </c>
      <c r="D10" s="14">
        <f>Sculpting_Schedule!D10</f>
        <v>351.79930999999999</v>
      </c>
      <c r="E10" s="13">
        <f>MIN(10,ROUNDUP(A10/MAX(1,Assumptions!$B$64),0))</f>
        <v>1</v>
      </c>
      <c r="F10" s="20">
        <f>INDEX(Assumptions!$C$66:$C$75,E10)</f>
        <v>8.6499999999999994E-2</v>
      </c>
      <c r="G10" s="14">
        <f t="shared" si="1"/>
        <v>7.6076600787499995</v>
      </c>
      <c r="H10" s="14">
        <f>Sculpting_Schedule!I10</f>
        <v>2.3923399212500005</v>
      </c>
      <c r="I10" s="14">
        <f t="shared" si="2"/>
        <v>10</v>
      </c>
      <c r="J10" s="15">
        <f>IF(OR(A10&gt;Assumptions!$B$14,I10=0),"",Sculpting_Schedule!F10/I10)</f>
        <v>1.5</v>
      </c>
      <c r="K10" s="13" t="str">
        <f>IF(A10&gt;Assumptions!$B$14,"Closed",IF(A10&lt;=Assumptions!$B$12,"Moratorium",IF(D10=0,"Closed (Repaid Early)",IF(J10&lt;Assumptions!$B$11-0.005,"BREACH - rate reset risk","OK"))))</f>
        <v>OK</v>
      </c>
      <c r="L10" s="23">
        <f>Sculpting_Schedule!J10</f>
        <v>0</v>
      </c>
    </row>
    <row r="11" spans="1:12" ht="15" customHeight="1" x14ac:dyDescent="0.25">
      <c r="A11" s="10">
        <v>5</v>
      </c>
      <c r="B11" s="10">
        <f t="shared" si="0"/>
        <v>2</v>
      </c>
      <c r="C11" s="10" t="str">
        <f>IF(A11&gt;Assumptions!$B$14,"Closed",IF(A11&lt;=Assumptions!$B$12,"Moratorium","Repayment"))</f>
        <v>Repayment</v>
      </c>
      <c r="D11" s="11">
        <f>Sculpting_Schedule!D11</f>
        <v>349.40697007874996</v>
      </c>
      <c r="E11" s="10">
        <f>MIN(10,ROUNDUP(A11/MAX(1,Assumptions!$B$64),0))</f>
        <v>1</v>
      </c>
      <c r="F11" s="19">
        <f>INDEX(Assumptions!$C$66:$C$75,E11)</f>
        <v>8.6499999999999994E-2</v>
      </c>
      <c r="G11" s="11">
        <f t="shared" si="1"/>
        <v>7.5559257279529675</v>
      </c>
      <c r="H11" s="11">
        <f>Sculpting_Schedule!I11</f>
        <v>2.4440742720470325</v>
      </c>
      <c r="I11" s="11">
        <f t="shared" si="2"/>
        <v>10</v>
      </c>
      <c r="J11" s="12">
        <f>IF(OR(A11&gt;Assumptions!$B$14,I11=0),"",Sculpting_Schedule!F11/I11)</f>
        <v>1.5</v>
      </c>
      <c r="K11" s="10" t="str">
        <f>IF(A11&gt;Assumptions!$B$14,"Closed",IF(A11&lt;=Assumptions!$B$12,"Moratorium",IF(D11=0,"Closed (Repaid Early)",IF(J11&lt;Assumptions!$B$11-0.005,"BREACH - rate reset risk","OK"))))</f>
        <v>OK</v>
      </c>
      <c r="L11" s="23">
        <f>Sculpting_Schedule!J11</f>
        <v>0</v>
      </c>
    </row>
    <row r="12" spans="1:12" ht="15" customHeight="1" x14ac:dyDescent="0.25">
      <c r="A12" s="13">
        <v>6</v>
      </c>
      <c r="B12" s="13">
        <f t="shared" si="0"/>
        <v>2</v>
      </c>
      <c r="C12" s="13" t="str">
        <f>IF(A12&gt;Assumptions!$B$14,"Closed",IF(A12&lt;=Assumptions!$B$12,"Moratorium","Repayment"))</f>
        <v>Repayment</v>
      </c>
      <c r="D12" s="14">
        <f>Sculpting_Schedule!D12</f>
        <v>346.96289580670293</v>
      </c>
      <c r="E12" s="13">
        <f>MIN(10,ROUNDUP(A12/MAX(1,Assumptions!$B$64),0))</f>
        <v>1</v>
      </c>
      <c r="F12" s="20">
        <f>INDEX(Assumptions!$C$66:$C$75,E12)</f>
        <v>8.6499999999999994E-2</v>
      </c>
      <c r="G12" s="14">
        <f t="shared" si="1"/>
        <v>7.5030726218199506</v>
      </c>
      <c r="H12" s="14">
        <f>Sculpting_Schedule!I12</f>
        <v>2.4969273781800494</v>
      </c>
      <c r="I12" s="14">
        <f t="shared" si="2"/>
        <v>10</v>
      </c>
      <c r="J12" s="15">
        <f>IF(OR(A12&gt;Assumptions!$B$14,I12=0),"",Sculpting_Schedule!F12/I12)</f>
        <v>1.5</v>
      </c>
      <c r="K12" s="13" t="str">
        <f>IF(A12&gt;Assumptions!$B$14,"Closed",IF(A12&lt;=Assumptions!$B$12,"Moratorium",IF(D12=0,"Closed (Repaid Early)",IF(J12&lt;Assumptions!$B$11-0.005,"BREACH - rate reset risk","OK"))))</f>
        <v>OK</v>
      </c>
      <c r="L12" s="23">
        <f>Sculpting_Schedule!J12</f>
        <v>45</v>
      </c>
    </row>
    <row r="13" spans="1:12" ht="15" customHeight="1" x14ac:dyDescent="0.25">
      <c r="A13" s="10">
        <v>7</v>
      </c>
      <c r="B13" s="10">
        <f t="shared" si="0"/>
        <v>2</v>
      </c>
      <c r="C13" s="10" t="str">
        <f>IF(A13&gt;Assumptions!$B$14,"Closed",IF(A13&lt;=Assumptions!$B$12,"Moratorium","Repayment"))</f>
        <v>Repayment</v>
      </c>
      <c r="D13" s="11">
        <f>Sculpting_Schedule!D13</f>
        <v>299.4659684285229</v>
      </c>
      <c r="E13" s="10">
        <f>MIN(10,ROUNDUP(A13/MAX(1,Assumptions!$B$64),0))</f>
        <v>1</v>
      </c>
      <c r="F13" s="19">
        <f>INDEX(Assumptions!$C$66:$C$75,E13)</f>
        <v>8.6499999999999994E-2</v>
      </c>
      <c r="G13" s="11">
        <f t="shared" si="1"/>
        <v>6.4759515672668071</v>
      </c>
      <c r="H13" s="11">
        <f>Sculpting_Schedule!I13</f>
        <v>3.5240484327331929</v>
      </c>
      <c r="I13" s="11">
        <f t="shared" si="2"/>
        <v>10</v>
      </c>
      <c r="J13" s="12">
        <f>IF(OR(A13&gt;Assumptions!$B$14,I13=0),"",Sculpting_Schedule!F13/I13)</f>
        <v>1.5</v>
      </c>
      <c r="K13" s="10" t="str">
        <f>IF(A13&gt;Assumptions!$B$14,"Closed",IF(A13&lt;=Assumptions!$B$12,"Moratorium",IF(D13=0,"Closed (Repaid Early)",IF(J13&lt;Assumptions!$B$11-0.005,"BREACH - rate reset risk","OK"))))</f>
        <v>OK</v>
      </c>
      <c r="L13" s="23">
        <f>Sculpting_Schedule!J13</f>
        <v>0</v>
      </c>
    </row>
    <row r="14" spans="1:12" ht="15" customHeight="1" x14ac:dyDescent="0.25">
      <c r="A14" s="13">
        <v>8</v>
      </c>
      <c r="B14" s="13">
        <f t="shared" si="0"/>
        <v>2</v>
      </c>
      <c r="C14" s="13" t="str">
        <f>IF(A14&gt;Assumptions!$B$14,"Closed",IF(A14&lt;=Assumptions!$B$12,"Moratorium","Repayment"))</f>
        <v>Repayment</v>
      </c>
      <c r="D14" s="14">
        <f>Sculpting_Schedule!D14</f>
        <v>295.9419199957897</v>
      </c>
      <c r="E14" s="13">
        <f>MIN(10,ROUNDUP(A14/MAX(1,Assumptions!$B$64),0))</f>
        <v>1</v>
      </c>
      <c r="F14" s="20">
        <f>INDEX(Assumptions!$C$66:$C$75,E14)</f>
        <v>8.6499999999999994E-2</v>
      </c>
      <c r="G14" s="14">
        <f t="shared" si="1"/>
        <v>6.3997440199089519</v>
      </c>
      <c r="H14" s="14">
        <f>Sculpting_Schedule!I14</f>
        <v>3.6002559800910481</v>
      </c>
      <c r="I14" s="14">
        <f t="shared" si="2"/>
        <v>10</v>
      </c>
      <c r="J14" s="15">
        <f>IF(OR(A14&gt;Assumptions!$B$14,I14=0),"",Sculpting_Schedule!F14/I14)</f>
        <v>1.5</v>
      </c>
      <c r="K14" s="13" t="str">
        <f>IF(A14&gt;Assumptions!$B$14,"Closed",IF(A14&lt;=Assumptions!$B$12,"Moratorium",IF(D14=0,"Closed (Repaid Early)",IF(J14&lt;Assumptions!$B$11-0.005,"BREACH - rate reset risk","OK"))))</f>
        <v>OK</v>
      </c>
      <c r="L14" s="23">
        <f>Sculpting_Schedule!J14</f>
        <v>0</v>
      </c>
    </row>
    <row r="15" spans="1:12" ht="15" customHeight="1" x14ac:dyDescent="0.25">
      <c r="A15" s="10">
        <v>9</v>
      </c>
      <c r="B15" s="10">
        <f t="shared" si="0"/>
        <v>3</v>
      </c>
      <c r="C15" s="10" t="str">
        <f>IF(A15&gt;Assumptions!$B$14,"Closed",IF(A15&lt;=Assumptions!$B$12,"Moratorium","Repayment"))</f>
        <v>Repayment</v>
      </c>
      <c r="D15" s="11">
        <f>Sculpting_Schedule!D15</f>
        <v>292.34166401569865</v>
      </c>
      <c r="E15" s="10">
        <f>MIN(10,ROUNDUP(A15/MAX(1,Assumptions!$B$64),0))</f>
        <v>1</v>
      </c>
      <c r="F15" s="19">
        <f>INDEX(Assumptions!$C$66:$C$75,E15)</f>
        <v>8.6499999999999994E-2</v>
      </c>
      <c r="G15" s="11">
        <f t="shared" si="1"/>
        <v>6.3218884843394827</v>
      </c>
      <c r="H15" s="11">
        <f>Sculpting_Schedule!I15</f>
        <v>3.6781115156605173</v>
      </c>
      <c r="I15" s="11">
        <f t="shared" si="2"/>
        <v>10</v>
      </c>
      <c r="J15" s="12">
        <f>IF(OR(A15&gt;Assumptions!$B$14,I15=0),"",Sculpting_Schedule!F15/I15)</f>
        <v>1.5</v>
      </c>
      <c r="K15" s="10" t="str">
        <f>IF(A15&gt;Assumptions!$B$14,"Closed",IF(A15&lt;=Assumptions!$B$12,"Moratorium",IF(D15=0,"Closed (Repaid Early)",IF(J15&lt;Assumptions!$B$11-0.005,"BREACH - rate reset risk","OK"))))</f>
        <v>OK</v>
      </c>
      <c r="L15" s="23">
        <f>Sculpting_Schedule!J15</f>
        <v>0</v>
      </c>
    </row>
    <row r="16" spans="1:12" ht="15" customHeight="1" x14ac:dyDescent="0.25">
      <c r="A16" s="13">
        <v>10</v>
      </c>
      <c r="B16" s="13">
        <f t="shared" si="0"/>
        <v>3</v>
      </c>
      <c r="C16" s="13" t="str">
        <f>IF(A16&gt;Assumptions!$B$14,"Closed",IF(A16&lt;=Assumptions!$B$12,"Moratorium","Repayment"))</f>
        <v>Repayment</v>
      </c>
      <c r="D16" s="14">
        <f>Sculpting_Schedule!D16</f>
        <v>288.66355250003812</v>
      </c>
      <c r="E16" s="13">
        <f>MIN(10,ROUNDUP(A16/MAX(1,Assumptions!$B$64),0))</f>
        <v>1</v>
      </c>
      <c r="F16" s="20">
        <f>INDEX(Assumptions!$C$66:$C$75,E16)</f>
        <v>8.6499999999999994E-2</v>
      </c>
      <c r="G16" s="14">
        <f t="shared" si="1"/>
        <v>6.2423493228133236</v>
      </c>
      <c r="H16" s="14">
        <f>Sculpting_Schedule!I16</f>
        <v>3.7576506771866764</v>
      </c>
      <c r="I16" s="14">
        <f t="shared" si="2"/>
        <v>10</v>
      </c>
      <c r="J16" s="15">
        <f>IF(OR(A16&gt;Assumptions!$B$14,I16=0),"",Sculpting_Schedule!F16/I16)</f>
        <v>1.5</v>
      </c>
      <c r="K16" s="13" t="str">
        <f>IF(A16&gt;Assumptions!$B$14,"Closed",IF(A16&lt;=Assumptions!$B$12,"Moratorium",IF(D16=0,"Closed (Repaid Early)",IF(J16&lt;Assumptions!$B$11-0.005,"BREACH - rate reset risk","OK"))))</f>
        <v>OK</v>
      </c>
      <c r="L16" s="23">
        <f>Sculpting_Schedule!J16</f>
        <v>27</v>
      </c>
    </row>
    <row r="17" spans="1:12" ht="15" customHeight="1" x14ac:dyDescent="0.25">
      <c r="A17" s="10">
        <v>11</v>
      </c>
      <c r="B17" s="10">
        <f t="shared" si="0"/>
        <v>3</v>
      </c>
      <c r="C17" s="10" t="str">
        <f>IF(A17&gt;Assumptions!$B$14,"Closed",IF(A17&lt;=Assumptions!$B$12,"Moratorium","Repayment"))</f>
        <v>Repayment</v>
      </c>
      <c r="D17" s="11">
        <f>Sculpting_Schedule!D17</f>
        <v>257.90590182285143</v>
      </c>
      <c r="E17" s="10">
        <f>MIN(10,ROUNDUP(A17/MAX(1,Assumptions!$B$64),0))</f>
        <v>1</v>
      </c>
      <c r="F17" s="19">
        <f>INDEX(Assumptions!$C$66:$C$75,E17)</f>
        <v>8.6499999999999994E-2</v>
      </c>
      <c r="G17" s="11">
        <f t="shared" si="1"/>
        <v>5.5772151269191621</v>
      </c>
      <c r="H17" s="11">
        <f>Sculpting_Schedule!I17</f>
        <v>4.4227848730808379</v>
      </c>
      <c r="I17" s="11">
        <f t="shared" si="2"/>
        <v>10</v>
      </c>
      <c r="J17" s="12">
        <f>IF(OR(A17&gt;Assumptions!$B$14,I17=0),"",Sculpting_Schedule!F17/I17)</f>
        <v>1.5</v>
      </c>
      <c r="K17" s="10" t="str">
        <f>IF(A17&gt;Assumptions!$B$14,"Closed",IF(A17&lt;=Assumptions!$B$12,"Moratorium",IF(D17=0,"Closed (Repaid Early)",IF(J17&lt;Assumptions!$B$11-0.005,"BREACH - rate reset risk","OK"))))</f>
        <v>OK</v>
      </c>
      <c r="L17" s="23">
        <f>Sculpting_Schedule!J17</f>
        <v>0</v>
      </c>
    </row>
    <row r="18" spans="1:12" ht="15" customHeight="1" x14ac:dyDescent="0.25">
      <c r="A18" s="13">
        <v>12</v>
      </c>
      <c r="B18" s="13">
        <f t="shared" si="0"/>
        <v>3</v>
      </c>
      <c r="C18" s="13" t="str">
        <f>IF(A18&gt;Assumptions!$B$14,"Closed",IF(A18&lt;=Assumptions!$B$12,"Moratorium","Repayment"))</f>
        <v>Repayment</v>
      </c>
      <c r="D18" s="14">
        <f>Sculpting_Schedule!D18</f>
        <v>253.48311694977059</v>
      </c>
      <c r="E18" s="13">
        <f>MIN(10,ROUNDUP(A18/MAX(1,Assumptions!$B$64),0))</f>
        <v>1</v>
      </c>
      <c r="F18" s="20">
        <f>INDEX(Assumptions!$C$66:$C$75,E18)</f>
        <v>8.6499999999999994E-2</v>
      </c>
      <c r="G18" s="14">
        <f t="shared" si="1"/>
        <v>5.481572404038789</v>
      </c>
      <c r="H18" s="14">
        <f>Sculpting_Schedule!I18</f>
        <v>4.518427595961211</v>
      </c>
      <c r="I18" s="14">
        <f t="shared" si="2"/>
        <v>10</v>
      </c>
      <c r="J18" s="15">
        <f>IF(OR(A18&gt;Assumptions!$B$14,I18=0),"",Sculpting_Schedule!F18/I18)</f>
        <v>1.5</v>
      </c>
      <c r="K18" s="13" t="str">
        <f>IF(A18&gt;Assumptions!$B$14,"Closed",IF(A18&lt;=Assumptions!$B$12,"Moratorium",IF(D18=0,"Closed (Repaid Early)",IF(J18&lt;Assumptions!$B$11-0.005,"BREACH - rate reset risk","OK"))))</f>
        <v>OK</v>
      </c>
      <c r="L18" s="23">
        <f>Sculpting_Schedule!J18</f>
        <v>0</v>
      </c>
    </row>
    <row r="19" spans="1:12" ht="15" customHeight="1" x14ac:dyDescent="0.25">
      <c r="A19" s="10">
        <v>13</v>
      </c>
      <c r="B19" s="10">
        <f t="shared" si="0"/>
        <v>4</v>
      </c>
      <c r="C19" s="10" t="str">
        <f>IF(A19&gt;Assumptions!$B$14,"Closed",IF(A19&lt;=Assumptions!$B$12,"Moratorium","Repayment"))</f>
        <v>Repayment</v>
      </c>
      <c r="D19" s="11">
        <f>Sculpting_Schedule!D19</f>
        <v>248.96468935380938</v>
      </c>
      <c r="E19" s="10">
        <f>MIN(10,ROUNDUP(A19/MAX(1,Assumptions!$B$64),0))</f>
        <v>2</v>
      </c>
      <c r="F19" s="19">
        <f>INDEX(Assumptions!$C$66:$C$75,E19)</f>
        <v>8.6499999999999994E-2</v>
      </c>
      <c r="G19" s="11">
        <f t="shared" si="1"/>
        <v>5.3838614072761271</v>
      </c>
      <c r="H19" s="11">
        <f>Sculpting_Schedule!I19</f>
        <v>4.6161385927238729</v>
      </c>
      <c r="I19" s="11">
        <f t="shared" si="2"/>
        <v>10</v>
      </c>
      <c r="J19" s="12">
        <f>IF(OR(A19&gt;Assumptions!$B$14,I19=0),"",Sculpting_Schedule!F19/I19)</f>
        <v>1.5</v>
      </c>
      <c r="K19" s="10" t="str">
        <f>IF(A19&gt;Assumptions!$B$14,"Closed",IF(A19&lt;=Assumptions!$B$12,"Moratorium",IF(D19=0,"Closed (Repaid Early)",IF(J19&lt;Assumptions!$B$11-0.005,"BREACH - rate reset risk","OK"))))</f>
        <v>OK</v>
      </c>
      <c r="L19" s="23">
        <f>Sculpting_Schedule!J19</f>
        <v>0</v>
      </c>
    </row>
    <row r="20" spans="1:12" ht="15" customHeight="1" x14ac:dyDescent="0.25">
      <c r="A20" s="13">
        <v>14</v>
      </c>
      <c r="B20" s="13">
        <f t="shared" si="0"/>
        <v>4</v>
      </c>
      <c r="C20" s="13" t="str">
        <f>IF(A20&gt;Assumptions!$B$14,"Closed",IF(A20&lt;=Assumptions!$B$12,"Moratorium","Repayment"))</f>
        <v>Repayment</v>
      </c>
      <c r="D20" s="14">
        <f>Sculpting_Schedule!D20</f>
        <v>244.34855076108551</v>
      </c>
      <c r="E20" s="13">
        <f>MIN(10,ROUNDUP(A20/MAX(1,Assumptions!$B$64),0))</f>
        <v>2</v>
      </c>
      <c r="F20" s="20">
        <f>INDEX(Assumptions!$C$66:$C$75,E20)</f>
        <v>8.6499999999999994E-2</v>
      </c>
      <c r="G20" s="14">
        <f t="shared" si="1"/>
        <v>5.284037410208474</v>
      </c>
      <c r="H20" s="14">
        <f>Sculpting_Schedule!I20</f>
        <v>4.715962589791526</v>
      </c>
      <c r="I20" s="14">
        <f t="shared" si="2"/>
        <v>10</v>
      </c>
      <c r="J20" s="15">
        <f>IF(OR(A20&gt;Assumptions!$B$14,I20=0),"",Sculpting_Schedule!F20/I20)</f>
        <v>1.5</v>
      </c>
      <c r="K20" s="13" t="str">
        <f>IF(A20&gt;Assumptions!$B$14,"Closed",IF(A20&lt;=Assumptions!$B$12,"Moratorium",IF(D20=0,"Closed (Repaid Early)",IF(J20&lt;Assumptions!$B$11-0.005,"BREACH - rate reset risk","OK"))))</f>
        <v>OK</v>
      </c>
      <c r="L20" s="23">
        <f>Sculpting_Schedule!J20</f>
        <v>0</v>
      </c>
    </row>
    <row r="21" spans="1:12" ht="15" customHeight="1" x14ac:dyDescent="0.25">
      <c r="A21" s="10">
        <v>15</v>
      </c>
      <c r="B21" s="10">
        <f t="shared" si="0"/>
        <v>4</v>
      </c>
      <c r="C21" s="10" t="str">
        <f>IF(A21&gt;Assumptions!$B$14,"Closed",IF(A21&lt;=Assumptions!$B$12,"Moratorium","Repayment"))</f>
        <v>Repayment</v>
      </c>
      <c r="D21" s="11">
        <f>Sculpting_Schedule!D21</f>
        <v>239.63258817129397</v>
      </c>
      <c r="E21" s="10">
        <f>MIN(10,ROUNDUP(A21/MAX(1,Assumptions!$B$64),0))</f>
        <v>2</v>
      </c>
      <c r="F21" s="19">
        <f>INDEX(Assumptions!$C$66:$C$75,E21)</f>
        <v>8.6499999999999994E-2</v>
      </c>
      <c r="G21" s="11">
        <f t="shared" si="1"/>
        <v>5.1820547192042321</v>
      </c>
      <c r="H21" s="11">
        <f>Sculpting_Schedule!I21</f>
        <v>4.8179452807957679</v>
      </c>
      <c r="I21" s="11">
        <f t="shared" si="2"/>
        <v>10</v>
      </c>
      <c r="J21" s="12">
        <f>IF(OR(A21&gt;Assumptions!$B$14,I21=0),"",Sculpting_Schedule!F21/I21)</f>
        <v>1.5</v>
      </c>
      <c r="K21" s="10" t="str">
        <f>IF(A21&gt;Assumptions!$B$14,"Closed",IF(A21&lt;=Assumptions!$B$12,"Moratorium",IF(D21=0,"Closed (Repaid Early)",IF(J21&lt;Assumptions!$B$11-0.005,"BREACH - rate reset risk","OK"))))</f>
        <v>OK</v>
      </c>
      <c r="L21" s="23">
        <f>Sculpting_Schedule!J21</f>
        <v>0</v>
      </c>
    </row>
    <row r="22" spans="1:12" ht="15" customHeight="1" x14ac:dyDescent="0.25">
      <c r="A22" s="13">
        <v>16</v>
      </c>
      <c r="B22" s="13">
        <f t="shared" si="0"/>
        <v>4</v>
      </c>
      <c r="C22" s="13" t="str">
        <f>IF(A22&gt;Assumptions!$B$14,"Closed",IF(A22&lt;=Assumptions!$B$12,"Moratorium","Repayment"))</f>
        <v>Repayment</v>
      </c>
      <c r="D22" s="14">
        <f>Sculpting_Schedule!D22</f>
        <v>234.81464289049822</v>
      </c>
      <c r="E22" s="13">
        <f>MIN(10,ROUNDUP(A22/MAX(1,Assumptions!$B$64),0))</f>
        <v>2</v>
      </c>
      <c r="F22" s="20">
        <f>INDEX(Assumptions!$C$66:$C$75,E22)</f>
        <v>8.6499999999999994E-2</v>
      </c>
      <c r="G22" s="14">
        <f t="shared" si="1"/>
        <v>5.0778666525070237</v>
      </c>
      <c r="H22" s="14">
        <f>Sculpting_Schedule!I22</f>
        <v>4.9221333474929763</v>
      </c>
      <c r="I22" s="14">
        <f t="shared" si="2"/>
        <v>10</v>
      </c>
      <c r="J22" s="15">
        <f>IF(OR(A22&gt;Assumptions!$B$14,I22=0),"",Sculpting_Schedule!F22/I22)</f>
        <v>1.5</v>
      </c>
      <c r="K22" s="13" t="str">
        <f>IF(A22&gt;Assumptions!$B$14,"Closed",IF(A22&lt;=Assumptions!$B$12,"Moratorium",IF(D22=0,"Closed (Repaid Early)",IF(J22&lt;Assumptions!$B$11-0.005,"BREACH - rate reset risk","OK"))))</f>
        <v>OK</v>
      </c>
      <c r="L22" s="23">
        <f>Sculpting_Schedule!J22</f>
        <v>0</v>
      </c>
    </row>
    <row r="23" spans="1:12" ht="15" customHeight="1" x14ac:dyDescent="0.25">
      <c r="A23" s="10">
        <v>17</v>
      </c>
      <c r="B23" s="10">
        <f t="shared" si="0"/>
        <v>5</v>
      </c>
      <c r="C23" s="10" t="str">
        <f>IF(A23&gt;Assumptions!$B$14,"Closed",IF(A23&lt;=Assumptions!$B$12,"Moratorium","Repayment"))</f>
        <v>Repayment</v>
      </c>
      <c r="D23" s="11">
        <f>Sculpting_Schedule!D23</f>
        <v>229.89250954300525</v>
      </c>
      <c r="E23" s="10">
        <f>MIN(10,ROUNDUP(A23/MAX(1,Assumptions!$B$64),0))</f>
        <v>2</v>
      </c>
      <c r="F23" s="19">
        <f>INDEX(Assumptions!$C$66:$C$75,E23)</f>
        <v>8.6499999999999994E-2</v>
      </c>
      <c r="G23" s="11">
        <f t="shared" si="1"/>
        <v>4.9714255188674885</v>
      </c>
      <c r="H23" s="11">
        <f>Sculpting_Schedule!I23</f>
        <v>5.0285744811325115</v>
      </c>
      <c r="I23" s="11">
        <f t="shared" si="2"/>
        <v>10</v>
      </c>
      <c r="J23" s="12">
        <f>IF(OR(A23&gt;Assumptions!$B$14,I23=0),"",Sculpting_Schedule!F23/I23)</f>
        <v>1.5</v>
      </c>
      <c r="K23" s="10" t="str">
        <f>IF(A23&gt;Assumptions!$B$14,"Closed",IF(A23&lt;=Assumptions!$B$12,"Moratorium",IF(D23=0,"Closed (Repaid Early)",IF(J23&lt;Assumptions!$B$11-0.005,"BREACH - rate reset risk","OK"))))</f>
        <v>OK</v>
      </c>
      <c r="L23" s="23">
        <f>Sculpting_Schedule!J23</f>
        <v>0</v>
      </c>
    </row>
    <row r="24" spans="1:12" ht="15" customHeight="1" x14ac:dyDescent="0.25">
      <c r="A24" s="13">
        <v>18</v>
      </c>
      <c r="B24" s="13">
        <f t="shared" si="0"/>
        <v>5</v>
      </c>
      <c r="C24" s="13" t="str">
        <f>IF(A24&gt;Assumptions!$B$14,"Closed",IF(A24&lt;=Assumptions!$B$12,"Moratorium","Repayment"))</f>
        <v>Repayment</v>
      </c>
      <c r="D24" s="14">
        <f>Sculpting_Schedule!D24</f>
        <v>224.86393506187272</v>
      </c>
      <c r="E24" s="13">
        <f>MIN(10,ROUNDUP(A24/MAX(1,Assumptions!$B$64),0))</f>
        <v>2</v>
      </c>
      <c r="F24" s="20">
        <f>INDEX(Assumptions!$C$66:$C$75,E24)</f>
        <v>8.6499999999999994E-2</v>
      </c>
      <c r="G24" s="14">
        <f t="shared" si="1"/>
        <v>4.8626825957129975</v>
      </c>
      <c r="H24" s="14">
        <f>Sculpting_Schedule!I24</f>
        <v>5.1373174042870025</v>
      </c>
      <c r="I24" s="14">
        <f t="shared" si="2"/>
        <v>10</v>
      </c>
      <c r="J24" s="15">
        <f>IF(OR(A24&gt;Assumptions!$B$14,I24=0),"",Sculpting_Schedule!F24/I24)</f>
        <v>1.5</v>
      </c>
      <c r="K24" s="13" t="str">
        <f>IF(A24&gt;Assumptions!$B$14,"Closed",IF(A24&lt;=Assumptions!$B$12,"Moratorium",IF(D24=0,"Closed (Repaid Early)",IF(J24&lt;Assumptions!$B$11-0.005,"BREACH - rate reset risk","OK"))))</f>
        <v>OK</v>
      </c>
      <c r="L24" s="23">
        <f>Sculpting_Schedule!J24</f>
        <v>0</v>
      </c>
    </row>
    <row r="25" spans="1:12" ht="15" customHeight="1" x14ac:dyDescent="0.25">
      <c r="A25" s="10">
        <v>19</v>
      </c>
      <c r="B25" s="10">
        <f t="shared" si="0"/>
        <v>5</v>
      </c>
      <c r="C25" s="10" t="str">
        <f>IF(A25&gt;Assumptions!$B$14,"Closed",IF(A25&lt;=Assumptions!$B$12,"Moratorium","Repayment"))</f>
        <v>Repayment</v>
      </c>
      <c r="D25" s="11">
        <f>Sculpting_Schedule!D25</f>
        <v>219.72661765758573</v>
      </c>
      <c r="E25" s="10">
        <f>MIN(10,ROUNDUP(A25/MAX(1,Assumptions!$B$64),0))</f>
        <v>2</v>
      </c>
      <c r="F25" s="19">
        <f>INDEX(Assumptions!$C$66:$C$75,E25)</f>
        <v>8.6499999999999994E-2</v>
      </c>
      <c r="G25" s="11">
        <f t="shared" si="1"/>
        <v>4.7515881068452908</v>
      </c>
      <c r="H25" s="11">
        <f>Sculpting_Schedule!I25</f>
        <v>5.2484118931547092</v>
      </c>
      <c r="I25" s="11">
        <f t="shared" si="2"/>
        <v>10</v>
      </c>
      <c r="J25" s="12">
        <f>IF(OR(A25&gt;Assumptions!$B$14,I25=0),"",Sculpting_Schedule!F25/I25)</f>
        <v>1.5</v>
      </c>
      <c r="K25" s="10" t="str">
        <f>IF(A25&gt;Assumptions!$B$14,"Closed",IF(A25&lt;=Assumptions!$B$12,"Moratorium",IF(D25=0,"Closed (Repaid Early)",IF(J25&lt;Assumptions!$B$11-0.005,"BREACH - rate reset risk","OK"))))</f>
        <v>OK</v>
      </c>
      <c r="L25" s="23">
        <f>Sculpting_Schedule!J25</f>
        <v>0</v>
      </c>
    </row>
    <row r="26" spans="1:12" ht="15" customHeight="1" x14ac:dyDescent="0.25">
      <c r="A26" s="13">
        <v>20</v>
      </c>
      <c r="B26" s="13">
        <f t="shared" si="0"/>
        <v>5</v>
      </c>
      <c r="C26" s="13" t="str">
        <f>IF(A26&gt;Assumptions!$B$14,"Closed",IF(A26&lt;=Assumptions!$B$12,"Moratorium","Repayment"))</f>
        <v>Repayment</v>
      </c>
      <c r="D26" s="14">
        <f>Sculpting_Schedule!D26</f>
        <v>214.47820576443104</v>
      </c>
      <c r="E26" s="13">
        <f>MIN(10,ROUNDUP(A26/MAX(1,Assumptions!$B$64),0))</f>
        <v>2</v>
      </c>
      <c r="F26" s="20">
        <f>INDEX(Assumptions!$C$66:$C$75,E26)</f>
        <v>8.6499999999999994E-2</v>
      </c>
      <c r="G26" s="14">
        <f t="shared" si="1"/>
        <v>4.638091199655821</v>
      </c>
      <c r="H26" s="14">
        <f>Sculpting_Schedule!I26</f>
        <v>5.361908800344179</v>
      </c>
      <c r="I26" s="14">
        <f t="shared" si="2"/>
        <v>10</v>
      </c>
      <c r="J26" s="15">
        <f>IF(OR(A26&gt;Assumptions!$B$14,I26=0),"",Sculpting_Schedule!F26/I26)</f>
        <v>1.5</v>
      </c>
      <c r="K26" s="13" t="str">
        <f>IF(A26&gt;Assumptions!$B$14,"Closed",IF(A26&lt;=Assumptions!$B$12,"Moratorium",IF(D26=0,"Closed (Repaid Early)",IF(J26&lt;Assumptions!$B$11-0.005,"BREACH - rate reset risk","OK"))))</f>
        <v>OK</v>
      </c>
      <c r="L26" s="23">
        <f>Sculpting_Schedule!J26</f>
        <v>0</v>
      </c>
    </row>
    <row r="27" spans="1:12" ht="15" customHeight="1" x14ac:dyDescent="0.25">
      <c r="A27" s="10">
        <v>21</v>
      </c>
      <c r="B27" s="10">
        <f t="shared" si="0"/>
        <v>6</v>
      </c>
      <c r="C27" s="10" t="str">
        <f>IF(A27&gt;Assumptions!$B$14,"Closed",IF(A27&lt;=Assumptions!$B$12,"Moratorium","Repayment"))</f>
        <v>Repayment</v>
      </c>
      <c r="D27" s="11">
        <f>Sculpting_Schedule!D27</f>
        <v>209.11629696408687</v>
      </c>
      <c r="E27" s="10">
        <f>MIN(10,ROUNDUP(A27/MAX(1,Assumptions!$B$64),0))</f>
        <v>2</v>
      </c>
      <c r="F27" s="19">
        <f>INDEX(Assumptions!$C$66:$C$75,E27)</f>
        <v>8.6499999999999994E-2</v>
      </c>
      <c r="G27" s="11">
        <f t="shared" si="1"/>
        <v>4.5221399218483782</v>
      </c>
      <c r="H27" s="11">
        <f>Sculpting_Schedule!I27</f>
        <v>5.4778600781516218</v>
      </c>
      <c r="I27" s="11">
        <f t="shared" si="2"/>
        <v>10</v>
      </c>
      <c r="J27" s="12">
        <f>IF(OR(A27&gt;Assumptions!$B$14,I27=0),"",Sculpting_Schedule!F27/I27)</f>
        <v>1.5</v>
      </c>
      <c r="K27" s="10" t="str">
        <f>IF(A27&gt;Assumptions!$B$14,"Closed",IF(A27&lt;=Assumptions!$B$12,"Moratorium",IF(D27=0,"Closed (Repaid Early)",IF(J27&lt;Assumptions!$B$11-0.005,"BREACH - rate reset risk","OK"))))</f>
        <v>OK</v>
      </c>
      <c r="L27" s="23">
        <f>Sculpting_Schedule!J27</f>
        <v>0</v>
      </c>
    </row>
    <row r="28" spans="1:12" ht="15" customHeight="1" x14ac:dyDescent="0.25">
      <c r="A28" s="13">
        <v>22</v>
      </c>
      <c r="B28" s="13">
        <f t="shared" si="0"/>
        <v>6</v>
      </c>
      <c r="C28" s="13" t="str">
        <f>IF(A28&gt;Assumptions!$B$14,"Closed",IF(A28&lt;=Assumptions!$B$12,"Moratorium","Repayment"))</f>
        <v>Repayment</v>
      </c>
      <c r="D28" s="14">
        <f>Sculpting_Schedule!D28</f>
        <v>203.63843688593525</v>
      </c>
      <c r="E28" s="13">
        <f>MIN(10,ROUNDUP(A28/MAX(1,Assumptions!$B$64),0))</f>
        <v>2</v>
      </c>
      <c r="F28" s="20">
        <f>INDEX(Assumptions!$C$66:$C$75,E28)</f>
        <v>8.6499999999999994E-2</v>
      </c>
      <c r="G28" s="14">
        <f t="shared" si="1"/>
        <v>4.4036811976583499</v>
      </c>
      <c r="H28" s="14">
        <f>Sculpting_Schedule!I28</f>
        <v>5.5963188023416501</v>
      </c>
      <c r="I28" s="14">
        <f t="shared" si="2"/>
        <v>10</v>
      </c>
      <c r="J28" s="15">
        <f>IF(OR(A28&gt;Assumptions!$B$14,I28=0),"",Sculpting_Schedule!F28/I28)</f>
        <v>1.5</v>
      </c>
      <c r="K28" s="13" t="str">
        <f>IF(A28&gt;Assumptions!$B$14,"Closed",IF(A28&lt;=Assumptions!$B$12,"Moratorium",IF(D28=0,"Closed (Repaid Early)",IF(J28&lt;Assumptions!$B$11-0.005,"BREACH - rate reset risk","OK"))))</f>
        <v>OK</v>
      </c>
      <c r="L28" s="23">
        <f>Sculpting_Schedule!J28</f>
        <v>0</v>
      </c>
    </row>
    <row r="29" spans="1:12" ht="15" customHeight="1" x14ac:dyDescent="0.25">
      <c r="A29" s="10">
        <v>23</v>
      </c>
      <c r="B29" s="10">
        <f t="shared" si="0"/>
        <v>6</v>
      </c>
      <c r="C29" s="10" t="str">
        <f>IF(A29&gt;Assumptions!$B$14,"Closed",IF(A29&lt;=Assumptions!$B$12,"Moratorium","Repayment"))</f>
        <v>Repayment</v>
      </c>
      <c r="D29" s="11">
        <f>Sculpting_Schedule!D29</f>
        <v>198.04211808359361</v>
      </c>
      <c r="E29" s="10">
        <f>MIN(10,ROUNDUP(A29/MAX(1,Assumptions!$B$64),0))</f>
        <v>2</v>
      </c>
      <c r="F29" s="19">
        <f>INDEX(Assumptions!$C$66:$C$75,E29)</f>
        <v>8.6499999999999994E-2</v>
      </c>
      <c r="G29" s="11">
        <f t="shared" si="1"/>
        <v>4.2826608035577118</v>
      </c>
      <c r="H29" s="11">
        <f>Sculpting_Schedule!I29</f>
        <v>5.7173391964422882</v>
      </c>
      <c r="I29" s="11">
        <f t="shared" si="2"/>
        <v>10</v>
      </c>
      <c r="J29" s="12">
        <f>IF(OR(A29&gt;Assumptions!$B$14,I29=0),"",Sculpting_Schedule!F29/I29)</f>
        <v>1.5</v>
      </c>
      <c r="K29" s="10" t="str">
        <f>IF(A29&gt;Assumptions!$B$14,"Closed",IF(A29&lt;=Assumptions!$B$12,"Moratorium",IF(D29=0,"Closed (Repaid Early)",IF(J29&lt;Assumptions!$B$11-0.005,"BREACH - rate reset risk","OK"))))</f>
        <v>OK</v>
      </c>
      <c r="L29" s="23">
        <f>Sculpting_Schedule!J29</f>
        <v>0</v>
      </c>
    </row>
    <row r="30" spans="1:12" ht="15" customHeight="1" x14ac:dyDescent="0.25">
      <c r="A30" s="13">
        <v>24</v>
      </c>
      <c r="B30" s="13">
        <f t="shared" si="0"/>
        <v>6</v>
      </c>
      <c r="C30" s="13" t="str">
        <f>IF(A30&gt;Assumptions!$B$14,"Closed",IF(A30&lt;=Assumptions!$B$12,"Moratorium","Repayment"))</f>
        <v>Repayment</v>
      </c>
      <c r="D30" s="14">
        <f>Sculpting_Schedule!D30</f>
        <v>192.32477888715133</v>
      </c>
      <c r="E30" s="13">
        <f>MIN(10,ROUNDUP(A30/MAX(1,Assumptions!$B$64),0))</f>
        <v>2</v>
      </c>
      <c r="F30" s="20">
        <f>INDEX(Assumptions!$C$66:$C$75,E30)</f>
        <v>8.6499999999999994E-2</v>
      </c>
      <c r="G30" s="14">
        <f t="shared" si="1"/>
        <v>4.1590233434346473</v>
      </c>
      <c r="H30" s="14">
        <f>Sculpting_Schedule!I30</f>
        <v>5.8409766565653527</v>
      </c>
      <c r="I30" s="14">
        <f t="shared" si="2"/>
        <v>10</v>
      </c>
      <c r="J30" s="15">
        <f>IF(OR(A30&gt;Assumptions!$B$14,I30=0),"",Sculpting_Schedule!F30/I30)</f>
        <v>1.5</v>
      </c>
      <c r="K30" s="13" t="str">
        <f>IF(A30&gt;Assumptions!$B$14,"Closed",IF(A30&lt;=Assumptions!$B$12,"Moratorium",IF(D30=0,"Closed (Repaid Early)",IF(J30&lt;Assumptions!$B$11-0.005,"BREACH - rate reset risk","OK"))))</f>
        <v>OK</v>
      </c>
      <c r="L30" s="23">
        <f>Sculpting_Schedule!J30</f>
        <v>0</v>
      </c>
    </row>
    <row r="31" spans="1:12" ht="15" customHeight="1" x14ac:dyDescent="0.25">
      <c r="A31" s="10">
        <v>25</v>
      </c>
      <c r="B31" s="10">
        <f t="shared" si="0"/>
        <v>7</v>
      </c>
      <c r="C31" s="10" t="str">
        <f>IF(A31&gt;Assumptions!$B$14,"Closed",IF(A31&lt;=Assumptions!$B$12,"Moratorium","Repayment"))</f>
        <v>Repayment</v>
      </c>
      <c r="D31" s="11">
        <f>Sculpting_Schedule!D31</f>
        <v>186.48380223058598</v>
      </c>
      <c r="E31" s="10">
        <f>MIN(10,ROUNDUP(A31/MAX(1,Assumptions!$B$64),0))</f>
        <v>3</v>
      </c>
      <c r="F31" s="19">
        <f>INDEX(Assumptions!$C$66:$C$75,E31)</f>
        <v>8.6499999999999994E-2</v>
      </c>
      <c r="G31" s="11">
        <f t="shared" si="1"/>
        <v>4.0327122232364214</v>
      </c>
      <c r="H31" s="11">
        <f>Sculpting_Schedule!I31</f>
        <v>5.9672877767635786</v>
      </c>
      <c r="I31" s="11">
        <f t="shared" si="2"/>
        <v>10</v>
      </c>
      <c r="J31" s="12">
        <f>IF(OR(A31&gt;Assumptions!$B$14,I31=0),"",Sculpting_Schedule!F31/I31)</f>
        <v>1.5</v>
      </c>
      <c r="K31" s="10" t="str">
        <f>IF(A31&gt;Assumptions!$B$14,"Closed",IF(A31&lt;=Assumptions!$B$12,"Moratorium",IF(D31=0,"Closed (Repaid Early)",IF(J31&lt;Assumptions!$B$11-0.005,"BREACH - rate reset risk","OK"))))</f>
        <v>OK</v>
      </c>
      <c r="L31" s="23">
        <f>Sculpting_Schedule!J31</f>
        <v>0</v>
      </c>
    </row>
    <row r="32" spans="1:12" ht="15" customHeight="1" x14ac:dyDescent="0.25">
      <c r="A32" s="13">
        <v>26</v>
      </c>
      <c r="B32" s="13">
        <f t="shared" si="0"/>
        <v>7</v>
      </c>
      <c r="C32" s="13" t="str">
        <f>IF(A32&gt;Assumptions!$B$14,"Closed",IF(A32&lt;=Assumptions!$B$12,"Moratorium","Repayment"))</f>
        <v>Repayment</v>
      </c>
      <c r="D32" s="14">
        <f>Sculpting_Schedule!D32</f>
        <v>180.5165144538224</v>
      </c>
      <c r="E32" s="13">
        <f>MIN(10,ROUNDUP(A32/MAX(1,Assumptions!$B$64),0))</f>
        <v>3</v>
      </c>
      <c r="F32" s="20">
        <f>INDEX(Assumptions!$C$66:$C$75,E32)</f>
        <v>8.6499999999999994E-2</v>
      </c>
      <c r="G32" s="14">
        <f t="shared" si="1"/>
        <v>3.9036696250639089</v>
      </c>
      <c r="H32" s="14">
        <f>Sculpting_Schedule!I32</f>
        <v>6.0963303749360911</v>
      </c>
      <c r="I32" s="14">
        <f t="shared" si="2"/>
        <v>10</v>
      </c>
      <c r="J32" s="15">
        <f>IF(OR(A32&gt;Assumptions!$B$14,I32=0),"",Sculpting_Schedule!F32/I32)</f>
        <v>1.5</v>
      </c>
      <c r="K32" s="13" t="str">
        <f>IF(A32&gt;Assumptions!$B$14,"Closed",IF(A32&lt;=Assumptions!$B$12,"Moratorium",IF(D32=0,"Closed (Repaid Early)",IF(J32&lt;Assumptions!$B$11-0.005,"BREACH - rate reset risk","OK"))))</f>
        <v>OK</v>
      </c>
      <c r="L32" s="23">
        <f>Sculpting_Schedule!J32</f>
        <v>0</v>
      </c>
    </row>
    <row r="33" spans="1:12" ht="15" customHeight="1" x14ac:dyDescent="0.25">
      <c r="A33" s="10">
        <v>27</v>
      </c>
      <c r="B33" s="10">
        <f t="shared" si="0"/>
        <v>7</v>
      </c>
      <c r="C33" s="10" t="str">
        <f>IF(A33&gt;Assumptions!$B$14,"Closed",IF(A33&lt;=Assumptions!$B$12,"Moratorium","Repayment"))</f>
        <v>Repayment</v>
      </c>
      <c r="D33" s="11">
        <f>Sculpting_Schedule!D33</f>
        <v>174.42018407888631</v>
      </c>
      <c r="E33" s="10">
        <f>MIN(10,ROUNDUP(A33/MAX(1,Assumptions!$B$64),0))</f>
        <v>3</v>
      </c>
      <c r="F33" s="19">
        <f>INDEX(Assumptions!$C$66:$C$75,E33)</f>
        <v>8.6499999999999994E-2</v>
      </c>
      <c r="G33" s="11">
        <f t="shared" si="1"/>
        <v>3.7718364807059159</v>
      </c>
      <c r="H33" s="11">
        <f>Sculpting_Schedule!I33</f>
        <v>6.2281635192940836</v>
      </c>
      <c r="I33" s="11">
        <f t="shared" si="2"/>
        <v>10</v>
      </c>
      <c r="J33" s="12">
        <f>IF(OR(A33&gt;Assumptions!$B$14,I33=0),"",Sculpting_Schedule!F33/I33)</f>
        <v>1.5</v>
      </c>
      <c r="K33" s="10" t="str">
        <f>IF(A33&gt;Assumptions!$B$14,"Closed",IF(A33&lt;=Assumptions!$B$12,"Moratorium",IF(D33=0,"Closed (Repaid Early)",IF(J33&lt;Assumptions!$B$11-0.005,"BREACH - rate reset risk","OK"))))</f>
        <v>OK</v>
      </c>
      <c r="L33" s="23">
        <f>Sculpting_Schedule!J33</f>
        <v>0</v>
      </c>
    </row>
    <row r="34" spans="1:12" ht="15" customHeight="1" x14ac:dyDescent="0.25">
      <c r="A34" s="13">
        <v>28</v>
      </c>
      <c r="B34" s="13">
        <f t="shared" si="0"/>
        <v>7</v>
      </c>
      <c r="C34" s="13" t="str">
        <f>IF(A34&gt;Assumptions!$B$14,"Closed",IF(A34&lt;=Assumptions!$B$12,"Moratorium","Repayment"))</f>
        <v>Repayment</v>
      </c>
      <c r="D34" s="14">
        <f>Sculpting_Schedule!D34</f>
        <v>168.19202055959224</v>
      </c>
      <c r="E34" s="13">
        <f>MIN(10,ROUNDUP(A34/MAX(1,Assumptions!$B$64),0))</f>
        <v>3</v>
      </c>
      <c r="F34" s="20">
        <f>INDEX(Assumptions!$C$66:$C$75,E34)</f>
        <v>8.6499999999999994E-2</v>
      </c>
      <c r="G34" s="14">
        <f t="shared" si="1"/>
        <v>3.637152444601182</v>
      </c>
      <c r="H34" s="14">
        <f>Sculpting_Schedule!I34</f>
        <v>6.362847555398818</v>
      </c>
      <c r="I34" s="14">
        <f t="shared" si="2"/>
        <v>10</v>
      </c>
      <c r="J34" s="15">
        <f>IF(OR(A34&gt;Assumptions!$B$14,I34=0),"",Sculpting_Schedule!F34/I34)</f>
        <v>1.5</v>
      </c>
      <c r="K34" s="13" t="str">
        <f>IF(A34&gt;Assumptions!$B$14,"Closed",IF(A34&lt;=Assumptions!$B$12,"Moratorium",IF(D34=0,"Closed (Repaid Early)",IF(J34&lt;Assumptions!$B$11-0.005,"BREACH - rate reset risk","OK"))))</f>
        <v>OK</v>
      </c>
      <c r="L34" s="23">
        <f>Sculpting_Schedule!J34</f>
        <v>0</v>
      </c>
    </row>
    <row r="35" spans="1:12" ht="15" customHeight="1" x14ac:dyDescent="0.25">
      <c r="A35" s="10">
        <v>29</v>
      </c>
      <c r="B35" s="10">
        <f t="shared" si="0"/>
        <v>8</v>
      </c>
      <c r="C35" s="10" t="str">
        <f>IF(A35&gt;Assumptions!$B$14,"Closed",IF(A35&lt;=Assumptions!$B$12,"Moratorium","Repayment"))</f>
        <v>Repayment</v>
      </c>
      <c r="D35" s="11">
        <f>Sculpting_Schedule!D35</f>
        <v>161.82917300419342</v>
      </c>
      <c r="E35" s="10">
        <f>MIN(10,ROUNDUP(A35/MAX(1,Assumptions!$B$64),0))</f>
        <v>3</v>
      </c>
      <c r="F35" s="19">
        <f>INDEX(Assumptions!$C$66:$C$75,E35)</f>
        <v>8.6499999999999994E-2</v>
      </c>
      <c r="G35" s="11">
        <f t="shared" si="1"/>
        <v>3.4995558662156823</v>
      </c>
      <c r="H35" s="11">
        <f>Sculpting_Schedule!I35</f>
        <v>6.5004441337843177</v>
      </c>
      <c r="I35" s="11">
        <f t="shared" si="2"/>
        <v>10</v>
      </c>
      <c r="J35" s="12">
        <f>IF(OR(A35&gt;Assumptions!$B$14,I35=0),"",Sculpting_Schedule!F35/I35)</f>
        <v>1.5</v>
      </c>
      <c r="K35" s="10" t="str">
        <f>IF(A35&gt;Assumptions!$B$14,"Closed",IF(A35&lt;=Assumptions!$B$12,"Moratorium",IF(D35=0,"Closed (Repaid Early)",IF(J35&lt;Assumptions!$B$11-0.005,"BREACH - rate reset risk","OK"))))</f>
        <v>OK</v>
      </c>
      <c r="L35" s="23">
        <f>Sculpting_Schedule!J35</f>
        <v>0</v>
      </c>
    </row>
    <row r="36" spans="1:12" ht="15" customHeight="1" x14ac:dyDescent="0.25">
      <c r="A36" s="13">
        <v>30</v>
      </c>
      <c r="B36" s="13">
        <f t="shared" si="0"/>
        <v>8</v>
      </c>
      <c r="C36" s="13" t="str">
        <f>IF(A36&gt;Assumptions!$B$14,"Closed",IF(A36&lt;=Assumptions!$B$12,"Moratorium","Repayment"))</f>
        <v>Repayment</v>
      </c>
      <c r="D36" s="14">
        <f>Sculpting_Schedule!D36</f>
        <v>155.32872887040909</v>
      </c>
      <c r="E36" s="13">
        <f>MIN(10,ROUNDUP(A36/MAX(1,Assumptions!$B$64),0))</f>
        <v>3</v>
      </c>
      <c r="F36" s="20">
        <f>INDEX(Assumptions!$C$66:$C$75,E36)</f>
        <v>8.6499999999999994E-2</v>
      </c>
      <c r="G36" s="14">
        <f t="shared" si="1"/>
        <v>3.3589837618225964</v>
      </c>
      <c r="H36" s="14">
        <f>Sculpting_Schedule!I36</f>
        <v>6.6410162381774036</v>
      </c>
      <c r="I36" s="14">
        <f t="shared" si="2"/>
        <v>10</v>
      </c>
      <c r="J36" s="15">
        <f>IF(OR(A36&gt;Assumptions!$B$14,I36=0),"",Sculpting_Schedule!F36/I36)</f>
        <v>1.5</v>
      </c>
      <c r="K36" s="13" t="str">
        <f>IF(A36&gt;Assumptions!$B$14,"Closed",IF(A36&lt;=Assumptions!$B$12,"Moratorium",IF(D36=0,"Closed (Repaid Early)",IF(J36&lt;Assumptions!$B$11-0.005,"BREACH - rate reset risk","OK"))))</f>
        <v>OK</v>
      </c>
      <c r="L36" s="23">
        <f>Sculpting_Schedule!J36</f>
        <v>0</v>
      </c>
    </row>
    <row r="37" spans="1:12" ht="15" customHeight="1" x14ac:dyDescent="0.25">
      <c r="A37" s="10">
        <v>31</v>
      </c>
      <c r="B37" s="10">
        <f t="shared" si="0"/>
        <v>8</v>
      </c>
      <c r="C37" s="10" t="str">
        <f>IF(A37&gt;Assumptions!$B$14,"Closed",IF(A37&lt;=Assumptions!$B$12,"Moratorium","Repayment"))</f>
        <v>Repayment</v>
      </c>
      <c r="D37" s="11">
        <f>Sculpting_Schedule!D37</f>
        <v>148.68771263223169</v>
      </c>
      <c r="E37" s="10">
        <f>MIN(10,ROUNDUP(A37/MAX(1,Assumptions!$B$64),0))</f>
        <v>3</v>
      </c>
      <c r="F37" s="19">
        <f>INDEX(Assumptions!$C$66:$C$75,E37)</f>
        <v>8.6499999999999994E-2</v>
      </c>
      <c r="G37" s="11">
        <f t="shared" si="1"/>
        <v>3.2153717856720103</v>
      </c>
      <c r="H37" s="11">
        <f>Sculpting_Schedule!I37</f>
        <v>6.7846282143279897</v>
      </c>
      <c r="I37" s="11">
        <f t="shared" si="2"/>
        <v>10</v>
      </c>
      <c r="J37" s="12">
        <f>IF(OR(A37&gt;Assumptions!$B$14,I37=0),"",Sculpting_Schedule!F37/I37)</f>
        <v>1.5</v>
      </c>
      <c r="K37" s="10" t="str">
        <f>IF(A37&gt;Assumptions!$B$14,"Closed",IF(A37&lt;=Assumptions!$B$12,"Moratorium",IF(D37=0,"Closed (Repaid Early)",IF(J37&lt;Assumptions!$B$11-0.005,"BREACH - rate reset risk","OK"))))</f>
        <v>OK</v>
      </c>
      <c r="L37" s="23">
        <f>Sculpting_Schedule!J37</f>
        <v>0</v>
      </c>
    </row>
    <row r="38" spans="1:12" ht="15" customHeight="1" x14ac:dyDescent="0.25">
      <c r="A38" s="13">
        <v>32</v>
      </c>
      <c r="B38" s="13">
        <f t="shared" si="0"/>
        <v>8</v>
      </c>
      <c r="C38" s="13" t="str">
        <f>IF(A38&gt;Assumptions!$B$14,"Closed",IF(A38&lt;=Assumptions!$B$12,"Moratorium","Repayment"))</f>
        <v>Repayment</v>
      </c>
      <c r="D38" s="14">
        <f>Sculpting_Schedule!D38</f>
        <v>141.9030844179037</v>
      </c>
      <c r="E38" s="13">
        <f>MIN(10,ROUNDUP(A38/MAX(1,Assumptions!$B$64),0))</f>
        <v>3</v>
      </c>
      <c r="F38" s="20">
        <f>INDEX(Assumptions!$C$66:$C$75,E38)</f>
        <v>8.6499999999999994E-2</v>
      </c>
      <c r="G38" s="14">
        <f t="shared" si="1"/>
        <v>3.0686542005371673</v>
      </c>
      <c r="H38" s="14">
        <f>Sculpting_Schedule!I38</f>
        <v>6.9313457994628322</v>
      </c>
      <c r="I38" s="14">
        <f t="shared" si="2"/>
        <v>10</v>
      </c>
      <c r="J38" s="15">
        <f>IF(OR(A38&gt;Assumptions!$B$14,I38=0),"",Sculpting_Schedule!F38/I38)</f>
        <v>1.5</v>
      </c>
      <c r="K38" s="13" t="str">
        <f>IF(A38&gt;Assumptions!$B$14,"Closed",IF(A38&lt;=Assumptions!$B$12,"Moratorium",IF(D38=0,"Closed (Repaid Early)",IF(J38&lt;Assumptions!$B$11-0.005,"BREACH - rate reset risk","OK"))))</f>
        <v>OK</v>
      </c>
      <c r="L38" s="23">
        <f>Sculpting_Schedule!J38</f>
        <v>0</v>
      </c>
    </row>
    <row r="39" spans="1:12" ht="15" customHeight="1" x14ac:dyDescent="0.25">
      <c r="A39" s="10">
        <v>33</v>
      </c>
      <c r="B39" s="10">
        <f t="shared" ref="B39:B70" si="3">ROUNDUP(A39/4,0)</f>
        <v>9</v>
      </c>
      <c r="C39" s="10" t="str">
        <f>IF(A39&gt;Assumptions!$B$14,"Closed",IF(A39&lt;=Assumptions!$B$12,"Moratorium","Repayment"))</f>
        <v>Repayment</v>
      </c>
      <c r="D39" s="11">
        <f>Sculpting_Schedule!D39</f>
        <v>134.97173861844087</v>
      </c>
      <c r="E39" s="10">
        <f>MIN(10,ROUNDUP(A39/MAX(1,Assumptions!$B$64),0))</f>
        <v>3</v>
      </c>
      <c r="F39" s="19">
        <f>INDEX(Assumptions!$C$66:$C$75,E39)</f>
        <v>8.6499999999999994E-2</v>
      </c>
      <c r="G39" s="11">
        <f t="shared" ref="G39:G70" si="4">D39*F39/4</f>
        <v>2.9187638476237834</v>
      </c>
      <c r="H39" s="11">
        <f>Sculpting_Schedule!I39</f>
        <v>7.0812361523762171</v>
      </c>
      <c r="I39" s="11">
        <f t="shared" ref="I39:I70" si="5">G39+H39</f>
        <v>10</v>
      </c>
      <c r="J39" s="12">
        <f>IF(OR(A39&gt;Assumptions!$B$14,I39=0),"",Sculpting_Schedule!F39/I39)</f>
        <v>1.5</v>
      </c>
      <c r="K39" s="10" t="str">
        <f>IF(A39&gt;Assumptions!$B$14,"Closed",IF(A39&lt;=Assumptions!$B$12,"Moratorium",IF(D39=0,"Closed (Repaid Early)",IF(J39&lt;Assumptions!$B$11-0.005,"BREACH - rate reset risk","OK"))))</f>
        <v>OK</v>
      </c>
      <c r="L39" s="23">
        <f>Sculpting_Schedule!J39</f>
        <v>0</v>
      </c>
    </row>
    <row r="40" spans="1:12" ht="15" customHeight="1" x14ac:dyDescent="0.25">
      <c r="A40" s="13">
        <v>34</v>
      </c>
      <c r="B40" s="13">
        <f t="shared" si="3"/>
        <v>9</v>
      </c>
      <c r="C40" s="13" t="str">
        <f>IF(A40&gt;Assumptions!$B$14,"Closed",IF(A40&lt;=Assumptions!$B$12,"Moratorium","Repayment"))</f>
        <v>Repayment</v>
      </c>
      <c r="D40" s="14">
        <f>Sculpting_Schedule!D40</f>
        <v>127.89050246606465</v>
      </c>
      <c r="E40" s="13">
        <f>MIN(10,ROUNDUP(A40/MAX(1,Assumptions!$B$64),0))</f>
        <v>3</v>
      </c>
      <c r="F40" s="20">
        <f>INDEX(Assumptions!$C$66:$C$75,E40)</f>
        <v>8.6499999999999994E-2</v>
      </c>
      <c r="G40" s="14">
        <f t="shared" si="4"/>
        <v>2.7656321158286477</v>
      </c>
      <c r="H40" s="14">
        <f>Sculpting_Schedule!I40</f>
        <v>7.2343678841713519</v>
      </c>
      <c r="I40" s="14">
        <f t="shared" si="5"/>
        <v>10</v>
      </c>
      <c r="J40" s="15">
        <f>IF(OR(A40&gt;Assumptions!$B$14,I40=0),"",Sculpting_Schedule!F40/I40)</f>
        <v>1.5</v>
      </c>
      <c r="K40" s="13" t="str">
        <f>IF(A40&gt;Assumptions!$B$14,"Closed",IF(A40&lt;=Assumptions!$B$12,"Moratorium",IF(D40=0,"Closed (Repaid Early)",IF(J40&lt;Assumptions!$B$11-0.005,"BREACH - rate reset risk","OK"))))</f>
        <v>OK</v>
      </c>
      <c r="L40" s="23">
        <f>Sculpting_Schedule!J40</f>
        <v>0</v>
      </c>
    </row>
    <row r="41" spans="1:12" ht="15" customHeight="1" x14ac:dyDescent="0.25">
      <c r="A41" s="10">
        <v>35</v>
      </c>
      <c r="B41" s="10">
        <f t="shared" si="3"/>
        <v>9</v>
      </c>
      <c r="C41" s="10" t="str">
        <f>IF(A41&gt;Assumptions!$B$14,"Closed",IF(A41&lt;=Assumptions!$B$12,"Moratorium","Repayment"))</f>
        <v>Repayment</v>
      </c>
      <c r="D41" s="11">
        <f>Sculpting_Schedule!D41</f>
        <v>120.6561345818933</v>
      </c>
      <c r="E41" s="10">
        <f>MIN(10,ROUNDUP(A41/MAX(1,Assumptions!$B$64),0))</f>
        <v>3</v>
      </c>
      <c r="F41" s="19">
        <f>INDEX(Assumptions!$C$66:$C$75,E41)</f>
        <v>8.6499999999999994E-2</v>
      </c>
      <c r="G41" s="11">
        <f t="shared" si="4"/>
        <v>2.6091889103334425</v>
      </c>
      <c r="H41" s="11">
        <f>Sculpting_Schedule!I41</f>
        <v>7.390811089666558</v>
      </c>
      <c r="I41" s="11">
        <f t="shared" si="5"/>
        <v>10</v>
      </c>
      <c r="J41" s="12">
        <f>IF(OR(A41&gt;Assumptions!$B$14,I41=0),"",Sculpting_Schedule!F41/I41)</f>
        <v>1.5</v>
      </c>
      <c r="K41" s="10" t="str">
        <f>IF(A41&gt;Assumptions!$B$14,"Closed",IF(A41&lt;=Assumptions!$B$12,"Moratorium",IF(D41=0,"Closed (Repaid Early)",IF(J41&lt;Assumptions!$B$11-0.005,"BREACH - rate reset risk","OK"))))</f>
        <v>OK</v>
      </c>
      <c r="L41" s="23">
        <f>Sculpting_Schedule!J41</f>
        <v>0</v>
      </c>
    </row>
    <row r="42" spans="1:12" ht="15" customHeight="1" x14ac:dyDescent="0.25">
      <c r="A42" s="13">
        <v>36</v>
      </c>
      <c r="B42" s="13">
        <f t="shared" si="3"/>
        <v>9</v>
      </c>
      <c r="C42" s="13" t="str">
        <f>IF(A42&gt;Assumptions!$B$14,"Closed",IF(A42&lt;=Assumptions!$B$12,"Moratorium","Repayment"))</f>
        <v>Repayment</v>
      </c>
      <c r="D42" s="14">
        <f>Sculpting_Schedule!D42</f>
        <v>113.26532349222674</v>
      </c>
      <c r="E42" s="13">
        <f>MIN(10,ROUNDUP(A42/MAX(1,Assumptions!$B$64),0))</f>
        <v>3</v>
      </c>
      <c r="F42" s="20">
        <f>INDEX(Assumptions!$C$66:$C$75,E42)</f>
        <v>8.6499999999999994E-2</v>
      </c>
      <c r="G42" s="14">
        <f t="shared" si="4"/>
        <v>2.4493626205194032</v>
      </c>
      <c r="H42" s="14">
        <f>Sculpting_Schedule!I42</f>
        <v>7.5506373794805963</v>
      </c>
      <c r="I42" s="14">
        <f t="shared" si="5"/>
        <v>10</v>
      </c>
      <c r="J42" s="15">
        <f>IF(OR(A42&gt;Assumptions!$B$14,I42=0),"",Sculpting_Schedule!F42/I42)</f>
        <v>1.5</v>
      </c>
      <c r="K42" s="13" t="str">
        <f>IF(A42&gt;Assumptions!$B$14,"Closed",IF(A42&lt;=Assumptions!$B$12,"Moratorium",IF(D42=0,"Closed (Repaid Early)",IF(J42&lt;Assumptions!$B$11-0.005,"BREACH - rate reset risk","OK"))))</f>
        <v>OK</v>
      </c>
      <c r="L42" s="23">
        <f>Sculpting_Schedule!J42</f>
        <v>0</v>
      </c>
    </row>
    <row r="43" spans="1:12" ht="15" customHeight="1" x14ac:dyDescent="0.25">
      <c r="A43" s="10">
        <v>37</v>
      </c>
      <c r="B43" s="10">
        <f t="shared" si="3"/>
        <v>10</v>
      </c>
      <c r="C43" s="10" t="str">
        <f>IF(A43&gt;Assumptions!$B$14,"Closed",IF(A43&lt;=Assumptions!$B$12,"Moratorium","Repayment"))</f>
        <v>Repayment</v>
      </c>
      <c r="D43" s="11">
        <f>Sculpting_Schedule!D43</f>
        <v>105.71468611274615</v>
      </c>
      <c r="E43" s="10">
        <f>MIN(10,ROUNDUP(A43/MAX(1,Assumptions!$B$64),0))</f>
        <v>4</v>
      </c>
      <c r="F43" s="19">
        <f>INDEX(Assumptions!$C$66:$C$75,E43)</f>
        <v>8.6499999999999994E-2</v>
      </c>
      <c r="G43" s="11">
        <f t="shared" si="4"/>
        <v>2.2860800871881355</v>
      </c>
      <c r="H43" s="11">
        <f>Sculpting_Schedule!I43</f>
        <v>7.7139199128118641</v>
      </c>
      <c r="I43" s="11">
        <f t="shared" si="5"/>
        <v>10</v>
      </c>
      <c r="J43" s="12">
        <f>IF(OR(A43&gt;Assumptions!$B$14,I43=0),"",Sculpting_Schedule!F43/I43)</f>
        <v>1.5</v>
      </c>
      <c r="K43" s="10" t="str">
        <f>IF(A43&gt;Assumptions!$B$14,"Closed",IF(A43&lt;=Assumptions!$B$12,"Moratorium",IF(D43=0,"Closed (Repaid Early)",IF(J43&lt;Assumptions!$B$11-0.005,"BREACH - rate reset risk","OK"))))</f>
        <v>OK</v>
      </c>
      <c r="L43" s="23">
        <f>Sculpting_Schedule!J43</f>
        <v>0</v>
      </c>
    </row>
    <row r="44" spans="1:12" ht="15" customHeight="1" x14ac:dyDescent="0.25">
      <c r="A44" s="13">
        <v>38</v>
      </c>
      <c r="B44" s="13">
        <f t="shared" si="3"/>
        <v>10</v>
      </c>
      <c r="C44" s="13" t="str">
        <f>IF(A44&gt;Assumptions!$B$14,"Closed",IF(A44&lt;=Assumptions!$B$12,"Moratorium","Repayment"))</f>
        <v>Repayment</v>
      </c>
      <c r="D44" s="14">
        <f>Sculpting_Schedule!D44</f>
        <v>98.00076619993429</v>
      </c>
      <c r="E44" s="13">
        <f>MIN(10,ROUNDUP(A44/MAX(1,Assumptions!$B$64),0))</f>
        <v>4</v>
      </c>
      <c r="F44" s="20">
        <f>INDEX(Assumptions!$C$66:$C$75,E44)</f>
        <v>8.6499999999999994E-2</v>
      </c>
      <c r="G44" s="14">
        <f t="shared" si="4"/>
        <v>2.119266569073579</v>
      </c>
      <c r="H44" s="14">
        <f>Sculpting_Schedule!I44</f>
        <v>7.880733430926421</v>
      </c>
      <c r="I44" s="14">
        <f t="shared" si="5"/>
        <v>10</v>
      </c>
      <c r="J44" s="15">
        <f>IF(OR(A44&gt;Assumptions!$B$14,I44=0),"",Sculpting_Schedule!F44/I44)</f>
        <v>1.5</v>
      </c>
      <c r="K44" s="13" t="str">
        <f>IF(A44&gt;Assumptions!$B$14,"Closed",IF(A44&lt;=Assumptions!$B$12,"Moratorium",IF(D44=0,"Closed (Repaid Early)",IF(J44&lt;Assumptions!$B$11-0.005,"BREACH - rate reset risk","OK"))))</f>
        <v>OK</v>
      </c>
      <c r="L44" s="23">
        <f>Sculpting_Schedule!J44</f>
        <v>0</v>
      </c>
    </row>
    <row r="45" spans="1:12" ht="15" customHeight="1" x14ac:dyDescent="0.25">
      <c r="A45" s="10">
        <v>39</v>
      </c>
      <c r="B45" s="10">
        <f t="shared" si="3"/>
        <v>10</v>
      </c>
      <c r="C45" s="10" t="str">
        <f>IF(A45&gt;Assumptions!$B$14,"Closed",IF(A45&lt;=Assumptions!$B$12,"Moratorium","Repayment"))</f>
        <v>Repayment</v>
      </c>
      <c r="D45" s="11">
        <f>Sculpting_Schedule!D45</f>
        <v>90.120032769007864</v>
      </c>
      <c r="E45" s="10">
        <f>MIN(10,ROUNDUP(A45/MAX(1,Assumptions!$B$64),0))</f>
        <v>4</v>
      </c>
      <c r="F45" s="19">
        <f>INDEX(Assumptions!$C$66:$C$75,E45)</f>
        <v>8.6499999999999994E-2</v>
      </c>
      <c r="G45" s="11">
        <f t="shared" si="4"/>
        <v>1.948845708629795</v>
      </c>
      <c r="H45" s="11">
        <f>Sculpting_Schedule!I45</f>
        <v>8.0511542913702048</v>
      </c>
      <c r="I45" s="11">
        <f t="shared" si="5"/>
        <v>10</v>
      </c>
      <c r="J45" s="12">
        <f>IF(OR(A45&gt;Assumptions!$B$14,I45=0),"",Sculpting_Schedule!F45/I45)</f>
        <v>1.5</v>
      </c>
      <c r="K45" s="10" t="str">
        <f>IF(A45&gt;Assumptions!$B$14,"Closed",IF(A45&lt;=Assumptions!$B$12,"Moratorium",IF(D45=0,"Closed (Repaid Early)",IF(J45&lt;Assumptions!$B$11-0.005,"BREACH - rate reset risk","OK"))))</f>
        <v>OK</v>
      </c>
      <c r="L45" s="23">
        <f>Sculpting_Schedule!J45</f>
        <v>0</v>
      </c>
    </row>
    <row r="46" spans="1:12" ht="15" customHeight="1" x14ac:dyDescent="0.25">
      <c r="A46" s="13">
        <v>40</v>
      </c>
      <c r="B46" s="13">
        <f t="shared" si="3"/>
        <v>10</v>
      </c>
      <c r="C46" s="13" t="str">
        <f>IF(A46&gt;Assumptions!$B$14,"Closed",IF(A46&lt;=Assumptions!$B$12,"Moratorium","Repayment"))</f>
        <v>Repayment</v>
      </c>
      <c r="D46" s="14">
        <f>Sculpting_Schedule!D46</f>
        <v>82.068878477637654</v>
      </c>
      <c r="E46" s="13">
        <f>MIN(10,ROUNDUP(A46/MAX(1,Assumptions!$B$64),0))</f>
        <v>4</v>
      </c>
      <c r="F46" s="20">
        <f>INDEX(Assumptions!$C$66:$C$75,E46)</f>
        <v>8.6499999999999994E-2</v>
      </c>
      <c r="G46" s="14">
        <f t="shared" si="4"/>
        <v>1.7747394970789141</v>
      </c>
      <c r="H46" s="14">
        <f>Sculpting_Schedule!I46</f>
        <v>8.2252605029210866</v>
      </c>
      <c r="I46" s="14">
        <f t="shared" si="5"/>
        <v>10</v>
      </c>
      <c r="J46" s="15">
        <f>IF(OR(A46&gt;Assumptions!$B$14,I46=0),"",Sculpting_Schedule!F46/I46)</f>
        <v>1.5</v>
      </c>
      <c r="K46" s="13" t="str">
        <f>IF(A46&gt;Assumptions!$B$14,"Closed",IF(A46&lt;=Assumptions!$B$12,"Moratorium",IF(D46=0,"Closed (Repaid Early)",IF(J46&lt;Assumptions!$B$11-0.005,"BREACH - rate reset risk","OK"))))</f>
        <v>OK</v>
      </c>
      <c r="L46" s="23">
        <f>Sculpting_Schedule!J46</f>
        <v>0</v>
      </c>
    </row>
    <row r="47" spans="1:12" ht="15" customHeight="1" x14ac:dyDescent="0.25">
      <c r="A47" s="10">
        <v>41</v>
      </c>
      <c r="B47" s="10">
        <f t="shared" si="3"/>
        <v>11</v>
      </c>
      <c r="C47" s="10" t="str">
        <f>IF(A47&gt;Assumptions!$B$14,"Closed",IF(A47&lt;=Assumptions!$B$12,"Moratorium","Repayment"))</f>
        <v>Repayment</v>
      </c>
      <c r="D47" s="11">
        <f>Sculpting_Schedule!D47</f>
        <v>73.843617974716565</v>
      </c>
      <c r="E47" s="10">
        <f>MIN(10,ROUNDUP(A47/MAX(1,Assumptions!$B$64),0))</f>
        <v>4</v>
      </c>
      <c r="F47" s="19">
        <f>INDEX(Assumptions!$C$66:$C$75,E47)</f>
        <v>8.6499999999999994E-2</v>
      </c>
      <c r="G47" s="11">
        <f t="shared" si="4"/>
        <v>1.5968682387032456</v>
      </c>
      <c r="H47" s="11">
        <f>Sculpting_Schedule!I47</f>
        <v>8.4031317612967538</v>
      </c>
      <c r="I47" s="11">
        <f t="shared" si="5"/>
        <v>10</v>
      </c>
      <c r="J47" s="12">
        <f>IF(OR(A47&gt;Assumptions!$B$14,I47=0),"",Sculpting_Schedule!F47/I47)</f>
        <v>1.5</v>
      </c>
      <c r="K47" s="10" t="str">
        <f>IF(A47&gt;Assumptions!$B$14,"Closed",IF(A47&lt;=Assumptions!$B$12,"Moratorium",IF(D47=0,"Closed (Repaid Early)",IF(J47&lt;Assumptions!$B$11-0.005,"BREACH - rate reset risk","OK"))))</f>
        <v>OK</v>
      </c>
      <c r="L47" s="23">
        <f>Sculpting_Schedule!J47</f>
        <v>0</v>
      </c>
    </row>
    <row r="48" spans="1:12" ht="15" customHeight="1" x14ac:dyDescent="0.25">
      <c r="A48" s="13">
        <v>42</v>
      </c>
      <c r="B48" s="13">
        <f t="shared" si="3"/>
        <v>11</v>
      </c>
      <c r="C48" s="13" t="str">
        <f>IF(A48&gt;Assumptions!$B$14,"Closed",IF(A48&lt;=Assumptions!$B$12,"Moratorium","Repayment"))</f>
        <v>Repayment</v>
      </c>
      <c r="D48" s="14">
        <f>Sculpting_Schedule!D48</f>
        <v>65.440486213419817</v>
      </c>
      <c r="E48" s="13">
        <f>MIN(10,ROUNDUP(A48/MAX(1,Assumptions!$B$64),0))</f>
        <v>4</v>
      </c>
      <c r="F48" s="20">
        <f>INDEX(Assumptions!$C$66:$C$75,E48)</f>
        <v>8.6499999999999994E-2</v>
      </c>
      <c r="G48" s="14">
        <f t="shared" si="4"/>
        <v>1.4151505143652034</v>
      </c>
      <c r="H48" s="14">
        <f>Sculpting_Schedule!I48</f>
        <v>8.5848494856347966</v>
      </c>
      <c r="I48" s="14">
        <f t="shared" si="5"/>
        <v>10</v>
      </c>
      <c r="J48" s="15">
        <f>IF(OR(A48&gt;Assumptions!$B$14,I48=0),"",Sculpting_Schedule!F48/I48)</f>
        <v>1.5</v>
      </c>
      <c r="K48" s="13" t="str">
        <f>IF(A48&gt;Assumptions!$B$14,"Closed",IF(A48&lt;=Assumptions!$B$12,"Moratorium",IF(D48=0,"Closed (Repaid Early)",IF(J48&lt;Assumptions!$B$11-0.005,"BREACH - rate reset risk","OK"))))</f>
        <v>OK</v>
      </c>
      <c r="L48" s="23">
        <f>Sculpting_Schedule!J48</f>
        <v>0</v>
      </c>
    </row>
    <row r="49" spans="1:12" ht="15" customHeight="1" x14ac:dyDescent="0.25">
      <c r="A49" s="10">
        <v>43</v>
      </c>
      <c r="B49" s="10">
        <f t="shared" si="3"/>
        <v>11</v>
      </c>
      <c r="C49" s="10" t="str">
        <f>IF(A49&gt;Assumptions!$B$14,"Closed",IF(A49&lt;=Assumptions!$B$12,"Moratorium","Repayment"))</f>
        <v>Repayment</v>
      </c>
      <c r="D49" s="11">
        <f>Sculpting_Schedule!D49</f>
        <v>56.855636727785019</v>
      </c>
      <c r="E49" s="10">
        <f>MIN(10,ROUNDUP(A49/MAX(1,Assumptions!$B$64),0))</f>
        <v>4</v>
      </c>
      <c r="F49" s="19">
        <f>INDEX(Assumptions!$C$66:$C$75,E49)</f>
        <v>8.6499999999999994E-2</v>
      </c>
      <c r="G49" s="11">
        <f t="shared" si="4"/>
        <v>1.2295031442383508</v>
      </c>
      <c r="H49" s="11">
        <f>Sculpting_Schedule!I49</f>
        <v>8.7704968557616496</v>
      </c>
      <c r="I49" s="11">
        <f t="shared" si="5"/>
        <v>10</v>
      </c>
      <c r="J49" s="12">
        <f>IF(OR(A49&gt;Assumptions!$B$14,I49=0),"",Sculpting_Schedule!F49/I49)</f>
        <v>1.5</v>
      </c>
      <c r="K49" s="10" t="str">
        <f>IF(A49&gt;Assumptions!$B$14,"Closed",IF(A49&lt;=Assumptions!$B$12,"Moratorium",IF(D49=0,"Closed (Repaid Early)",IF(J49&lt;Assumptions!$B$11-0.005,"BREACH - rate reset risk","OK"))))</f>
        <v>OK</v>
      </c>
      <c r="L49" s="23">
        <f>Sculpting_Schedule!J49</f>
        <v>0</v>
      </c>
    </row>
    <row r="50" spans="1:12" ht="15" customHeight="1" x14ac:dyDescent="0.25">
      <c r="A50" s="13">
        <v>44</v>
      </c>
      <c r="B50" s="13">
        <f t="shared" si="3"/>
        <v>11</v>
      </c>
      <c r="C50" s="13" t="str">
        <f>IF(A50&gt;Assumptions!$B$14,"Closed",IF(A50&lt;=Assumptions!$B$12,"Moratorium","Repayment"))</f>
        <v>Repayment</v>
      </c>
      <c r="D50" s="14">
        <f>Sculpting_Schedule!D50</f>
        <v>48.085139872023369</v>
      </c>
      <c r="E50" s="13">
        <f>MIN(10,ROUNDUP(A50/MAX(1,Assumptions!$B$64),0))</f>
        <v>4</v>
      </c>
      <c r="F50" s="20">
        <f>INDEX(Assumptions!$C$66:$C$75,E50)</f>
        <v>8.6499999999999994E-2</v>
      </c>
      <c r="G50" s="14">
        <f t="shared" si="4"/>
        <v>1.0398411497325053</v>
      </c>
      <c r="H50" s="14">
        <f>Sculpting_Schedule!I50</f>
        <v>8.9601588502674954</v>
      </c>
      <c r="I50" s="14">
        <f t="shared" si="5"/>
        <v>10</v>
      </c>
      <c r="J50" s="15">
        <f>IF(OR(A50&gt;Assumptions!$B$14,I50=0),"",Sculpting_Schedule!F50/I50)</f>
        <v>1.5</v>
      </c>
      <c r="K50" s="13" t="str">
        <f>IF(A50&gt;Assumptions!$B$14,"Closed",IF(A50&lt;=Assumptions!$B$12,"Moratorium",IF(D50=0,"Closed (Repaid Early)",IF(J50&lt;Assumptions!$B$11-0.005,"BREACH - rate reset risk","OK"))))</f>
        <v>OK</v>
      </c>
      <c r="L50" s="23">
        <f>Sculpting_Schedule!J50</f>
        <v>0</v>
      </c>
    </row>
    <row r="51" spans="1:12" ht="15" customHeight="1" x14ac:dyDescent="0.25">
      <c r="A51" s="10">
        <v>45</v>
      </c>
      <c r="B51" s="10">
        <f t="shared" si="3"/>
        <v>12</v>
      </c>
      <c r="C51" s="10" t="str">
        <f>IF(A51&gt;Assumptions!$B$14,"Closed",IF(A51&lt;=Assumptions!$B$12,"Moratorium","Repayment"))</f>
        <v>Repayment</v>
      </c>
      <c r="D51" s="11">
        <f>Sculpting_Schedule!D51</f>
        <v>39.124981021755872</v>
      </c>
      <c r="E51" s="10">
        <f>MIN(10,ROUNDUP(A51/MAX(1,Assumptions!$B$64),0))</f>
        <v>4</v>
      </c>
      <c r="F51" s="19">
        <f>INDEX(Assumptions!$C$66:$C$75,E51)</f>
        <v>8.6499999999999994E-2</v>
      </c>
      <c r="G51" s="11">
        <f t="shared" si="4"/>
        <v>0.84607771459547065</v>
      </c>
      <c r="H51" s="11">
        <f>Sculpting_Schedule!I51</f>
        <v>9.1539222854045299</v>
      </c>
      <c r="I51" s="11">
        <f t="shared" si="5"/>
        <v>10</v>
      </c>
      <c r="J51" s="12">
        <f>IF(OR(A51&gt;Assumptions!$B$14,I51=0),"",Sculpting_Schedule!F51/I51)</f>
        <v>1.5</v>
      </c>
      <c r="K51" s="10" t="str">
        <f>IF(A51&gt;Assumptions!$B$14,"Closed",IF(A51&lt;=Assumptions!$B$12,"Moratorium",IF(D51=0,"Closed (Repaid Early)",IF(J51&lt;Assumptions!$B$11-0.005,"BREACH - rate reset risk","OK"))))</f>
        <v>OK</v>
      </c>
      <c r="L51" s="23">
        <f>Sculpting_Schedule!J51</f>
        <v>0</v>
      </c>
    </row>
    <row r="52" spans="1:12" ht="15" customHeight="1" x14ac:dyDescent="0.25">
      <c r="A52" s="13">
        <v>46</v>
      </c>
      <c r="B52" s="13">
        <f t="shared" si="3"/>
        <v>12</v>
      </c>
      <c r="C52" s="13" t="str">
        <f>IF(A52&gt;Assumptions!$B$14,"Closed",IF(A52&lt;=Assumptions!$B$12,"Moratorium","Repayment"))</f>
        <v>Repayment</v>
      </c>
      <c r="D52" s="14">
        <f>Sculpting_Schedule!D52</f>
        <v>29.971058736351342</v>
      </c>
      <c r="E52" s="13">
        <f>MIN(10,ROUNDUP(A52/MAX(1,Assumptions!$B$64),0))</f>
        <v>4</v>
      </c>
      <c r="F52" s="20">
        <f>INDEX(Assumptions!$C$66:$C$75,E52)</f>
        <v>8.6499999999999994E-2</v>
      </c>
      <c r="G52" s="14">
        <f t="shared" si="4"/>
        <v>0.64812414517359773</v>
      </c>
      <c r="H52" s="14">
        <f>Sculpting_Schedule!I52</f>
        <v>9.3518758548264032</v>
      </c>
      <c r="I52" s="14">
        <f t="shared" si="5"/>
        <v>10</v>
      </c>
      <c r="J52" s="15">
        <f>IF(OR(A52&gt;Assumptions!$B$14,I52=0),"",Sculpting_Schedule!F52/I52)</f>
        <v>1.5</v>
      </c>
      <c r="K52" s="13" t="str">
        <f>IF(A52&gt;Assumptions!$B$14,"Closed",IF(A52&lt;=Assumptions!$B$12,"Moratorium",IF(D52=0,"Closed (Repaid Early)",IF(J52&lt;Assumptions!$B$11-0.005,"BREACH - rate reset risk","OK"))))</f>
        <v>OK</v>
      </c>
      <c r="L52" s="23">
        <f>Sculpting_Schedule!J52</f>
        <v>0</v>
      </c>
    </row>
    <row r="53" spans="1:12" ht="15" customHeight="1" x14ac:dyDescent="0.25">
      <c r="A53" s="10">
        <v>47</v>
      </c>
      <c r="B53" s="10">
        <f t="shared" si="3"/>
        <v>12</v>
      </c>
      <c r="C53" s="10" t="str">
        <f>IF(A53&gt;Assumptions!$B$14,"Closed",IF(A53&lt;=Assumptions!$B$12,"Moratorium","Repayment"))</f>
        <v>Repayment</v>
      </c>
      <c r="D53" s="11">
        <f>Sculpting_Schedule!D53</f>
        <v>20.619182881524939</v>
      </c>
      <c r="E53" s="10">
        <f>MIN(10,ROUNDUP(A53/MAX(1,Assumptions!$B$64),0))</f>
        <v>4</v>
      </c>
      <c r="F53" s="19">
        <f>INDEX(Assumptions!$C$66:$C$75,E53)</f>
        <v>8.6499999999999994E-2</v>
      </c>
      <c r="G53" s="11">
        <f t="shared" si="4"/>
        <v>0.44588982981297676</v>
      </c>
      <c r="H53" s="11">
        <f>Sculpting_Schedule!I53</f>
        <v>9.5541101701870232</v>
      </c>
      <c r="I53" s="11">
        <f t="shared" si="5"/>
        <v>10</v>
      </c>
      <c r="J53" s="12">
        <f>IF(OR(A53&gt;Assumptions!$B$14,I53=0),"",Sculpting_Schedule!F53/I53)</f>
        <v>1.5</v>
      </c>
      <c r="K53" s="10" t="str">
        <f>IF(A53&gt;Assumptions!$B$14,"Closed",IF(A53&lt;=Assumptions!$B$12,"Moratorium",IF(D53=0,"Closed (Repaid Early)",IF(J53&lt;Assumptions!$B$11-0.005,"BREACH - rate reset risk","OK"))))</f>
        <v>OK</v>
      </c>
      <c r="L53" s="23">
        <f>Sculpting_Schedule!J53</f>
        <v>0</v>
      </c>
    </row>
    <row r="54" spans="1:12" ht="15" customHeight="1" x14ac:dyDescent="0.25">
      <c r="A54" s="13">
        <v>48</v>
      </c>
      <c r="B54" s="13">
        <f t="shared" si="3"/>
        <v>12</v>
      </c>
      <c r="C54" s="13" t="str">
        <f>IF(A54&gt;Assumptions!$B$14,"Closed",IF(A54&lt;=Assumptions!$B$12,"Moratorium","Repayment"))</f>
        <v>Repayment</v>
      </c>
      <c r="D54" s="14">
        <f>Sculpting_Schedule!D54</f>
        <v>11.065072711337915</v>
      </c>
      <c r="E54" s="13">
        <f>MIN(10,ROUNDUP(A54/MAX(1,Assumptions!$B$64),0))</f>
        <v>4</v>
      </c>
      <c r="F54" s="20">
        <f>INDEX(Assumptions!$C$66:$C$75,E54)</f>
        <v>8.6499999999999994E-2</v>
      </c>
      <c r="G54" s="14">
        <f t="shared" si="4"/>
        <v>0.23928219738268242</v>
      </c>
      <c r="H54" s="14">
        <f>Sculpting_Schedule!I54</f>
        <v>9.760717802617318</v>
      </c>
      <c r="I54" s="14">
        <f t="shared" si="5"/>
        <v>10</v>
      </c>
      <c r="J54" s="15">
        <f>IF(OR(A54&gt;Assumptions!$B$14,I54=0),"",Sculpting_Schedule!F54/I54)</f>
        <v>1.5</v>
      </c>
      <c r="K54" s="13" t="str">
        <f>IF(A54&gt;Assumptions!$B$14,"Closed",IF(A54&lt;=Assumptions!$B$12,"Moratorium",IF(D54=0,"Closed (Repaid Early)",IF(J54&lt;Assumptions!$B$11-0.005,"BREACH - rate reset risk","OK"))))</f>
        <v>OK</v>
      </c>
      <c r="L54" s="23">
        <f>Sculpting_Schedule!J54</f>
        <v>0</v>
      </c>
    </row>
    <row r="55" spans="1:12" ht="15" customHeight="1" x14ac:dyDescent="0.25">
      <c r="A55" s="10">
        <v>49</v>
      </c>
      <c r="B55" s="10">
        <f t="shared" si="3"/>
        <v>13</v>
      </c>
      <c r="C55" s="10" t="str">
        <f>IF(A55&gt;Assumptions!$B$14,"Closed",IF(A55&lt;=Assumptions!$B$12,"Moratorium","Repayment"))</f>
        <v>Repayment</v>
      </c>
      <c r="D55" s="11">
        <f>Sculpting_Schedule!D55</f>
        <v>1.3043549087205975</v>
      </c>
      <c r="E55" s="10">
        <f>MIN(10,ROUNDUP(A55/MAX(1,Assumptions!$B$64),0))</f>
        <v>5</v>
      </c>
      <c r="F55" s="19">
        <f>INDEX(Assumptions!$C$66:$C$75,E55)</f>
        <v>8.6499999999999994E-2</v>
      </c>
      <c r="G55" s="11">
        <f t="shared" si="4"/>
        <v>2.8206674901082918E-2</v>
      </c>
      <c r="H55" s="11">
        <f>Sculpting_Schedule!I55</f>
        <v>1.3043549087205975</v>
      </c>
      <c r="I55" s="11">
        <f t="shared" si="5"/>
        <v>1.3325615836216804</v>
      </c>
      <c r="J55" s="12">
        <f>IF(OR(A55&gt;Assumptions!$B$14,I55=0),"",Sculpting_Schedule!F55/I55)</f>
        <v>11.25651540939106</v>
      </c>
      <c r="K55" s="10" t="str">
        <f>IF(A55&gt;Assumptions!$B$14,"Closed",IF(A55&lt;=Assumptions!$B$12,"Moratorium",IF(D55=0,"Closed (Repaid Early)",IF(J55&lt;Assumptions!$B$11-0.005,"BREACH - rate reset risk","OK"))))</f>
        <v>OK</v>
      </c>
      <c r="L55" s="23">
        <f>Sculpting_Schedule!J55</f>
        <v>0</v>
      </c>
    </row>
    <row r="56" spans="1:12" ht="15" customHeight="1" x14ac:dyDescent="0.25">
      <c r="A56" s="13">
        <v>50</v>
      </c>
      <c r="B56" s="13">
        <f t="shared" si="3"/>
        <v>13</v>
      </c>
      <c r="C56" s="13" t="str">
        <f>IF(A56&gt;Assumptions!$B$14,"Closed",IF(A56&lt;=Assumptions!$B$12,"Moratorium","Repayment"))</f>
        <v>Repayment</v>
      </c>
      <c r="D56" s="14">
        <f>Sculpting_Schedule!D56</f>
        <v>0</v>
      </c>
      <c r="E56" s="13">
        <f>MIN(10,ROUNDUP(A56/MAX(1,Assumptions!$B$64),0))</f>
        <v>5</v>
      </c>
      <c r="F56" s="20">
        <f>INDEX(Assumptions!$C$66:$C$75,E56)</f>
        <v>8.6499999999999994E-2</v>
      </c>
      <c r="G56" s="14">
        <f t="shared" si="4"/>
        <v>0</v>
      </c>
      <c r="H56" s="14">
        <f>Sculpting_Schedule!I56</f>
        <v>0</v>
      </c>
      <c r="I56" s="14">
        <f t="shared" si="5"/>
        <v>0</v>
      </c>
      <c r="J56" s="15" t="str">
        <f>IF(OR(A56&gt;Assumptions!$B$14,I56=0),"",Sculpting_Schedule!F56/I56)</f>
        <v/>
      </c>
      <c r="K56" s="13" t="str">
        <f>IF(A56&gt;Assumptions!$B$14,"Closed",IF(A56&lt;=Assumptions!$B$12,"Moratorium",IF(D56=0,"Closed (Repaid Early)",IF(J56&lt;Assumptions!$B$11-0.005,"BREACH - rate reset risk","OK"))))</f>
        <v>Closed (Repaid Early)</v>
      </c>
      <c r="L56" s="23">
        <f>Sculpting_Schedule!J56</f>
        <v>0</v>
      </c>
    </row>
    <row r="57" spans="1:12" ht="15" customHeight="1" x14ac:dyDescent="0.25">
      <c r="A57" s="10">
        <v>51</v>
      </c>
      <c r="B57" s="10">
        <f t="shared" si="3"/>
        <v>13</v>
      </c>
      <c r="C57" s="10" t="str">
        <f>IF(A57&gt;Assumptions!$B$14,"Closed",IF(A57&lt;=Assumptions!$B$12,"Moratorium","Repayment"))</f>
        <v>Repayment</v>
      </c>
      <c r="D57" s="11">
        <f>Sculpting_Schedule!D57</f>
        <v>0</v>
      </c>
      <c r="E57" s="10">
        <f>MIN(10,ROUNDUP(A57/MAX(1,Assumptions!$B$64),0))</f>
        <v>5</v>
      </c>
      <c r="F57" s="19">
        <f>INDEX(Assumptions!$C$66:$C$75,E57)</f>
        <v>8.6499999999999994E-2</v>
      </c>
      <c r="G57" s="11">
        <f t="shared" si="4"/>
        <v>0</v>
      </c>
      <c r="H57" s="11">
        <f>Sculpting_Schedule!I57</f>
        <v>0</v>
      </c>
      <c r="I57" s="11">
        <f t="shared" si="5"/>
        <v>0</v>
      </c>
      <c r="J57" s="12" t="str">
        <f>IF(OR(A57&gt;Assumptions!$B$14,I57=0),"",Sculpting_Schedule!F57/I57)</f>
        <v/>
      </c>
      <c r="K57" s="10" t="str">
        <f>IF(A57&gt;Assumptions!$B$14,"Closed",IF(A57&lt;=Assumptions!$B$12,"Moratorium",IF(D57=0,"Closed (Repaid Early)",IF(J57&lt;Assumptions!$B$11-0.005,"BREACH - rate reset risk","OK"))))</f>
        <v>Closed (Repaid Early)</v>
      </c>
      <c r="L57" s="23">
        <f>Sculpting_Schedule!J57</f>
        <v>0</v>
      </c>
    </row>
    <row r="58" spans="1:12" ht="15" customHeight="1" x14ac:dyDescent="0.25">
      <c r="A58" s="13">
        <v>52</v>
      </c>
      <c r="B58" s="13">
        <f t="shared" si="3"/>
        <v>13</v>
      </c>
      <c r="C58" s="13" t="str">
        <f>IF(A58&gt;Assumptions!$B$14,"Closed",IF(A58&lt;=Assumptions!$B$12,"Moratorium","Repayment"))</f>
        <v>Closed</v>
      </c>
      <c r="D58" s="14">
        <f>Sculpting_Schedule!D58</f>
        <v>0</v>
      </c>
      <c r="E58" s="13">
        <f>MIN(10,ROUNDUP(A58/MAX(1,Assumptions!$B$64),0))</f>
        <v>5</v>
      </c>
      <c r="F58" s="20">
        <f>INDEX(Assumptions!$C$66:$C$75,E58)</f>
        <v>8.6499999999999994E-2</v>
      </c>
      <c r="G58" s="14">
        <f t="shared" si="4"/>
        <v>0</v>
      </c>
      <c r="H58" s="14">
        <f>Sculpting_Schedule!I58</f>
        <v>0</v>
      </c>
      <c r="I58" s="14">
        <f t="shared" si="5"/>
        <v>0</v>
      </c>
      <c r="J58" s="15" t="str">
        <f>IF(OR(A58&gt;Assumptions!$B$14,I58=0),"",Sculpting_Schedule!F58/I58)</f>
        <v/>
      </c>
      <c r="K58" s="13" t="str">
        <f>IF(A58&gt;Assumptions!$B$14,"Closed",IF(A58&lt;=Assumptions!$B$12,"Moratorium",IF(D58=0,"Closed (Repaid Early)",IF(J58&lt;Assumptions!$B$11-0.005,"BREACH - rate reset risk","OK"))))</f>
        <v>Closed</v>
      </c>
      <c r="L58" s="23">
        <f>Sculpting_Schedule!J58</f>
        <v>0</v>
      </c>
    </row>
    <row r="59" spans="1:12" ht="15" customHeight="1" x14ac:dyDescent="0.25">
      <c r="A59" s="10">
        <v>53</v>
      </c>
      <c r="B59" s="10">
        <f t="shared" si="3"/>
        <v>14</v>
      </c>
      <c r="C59" s="10" t="str">
        <f>IF(A59&gt;Assumptions!$B$14,"Closed",IF(A59&lt;=Assumptions!$B$12,"Moratorium","Repayment"))</f>
        <v>Closed</v>
      </c>
      <c r="D59" s="11">
        <f>Sculpting_Schedule!D59</f>
        <v>0</v>
      </c>
      <c r="E59" s="10">
        <f>MIN(10,ROUNDUP(A59/MAX(1,Assumptions!$B$64),0))</f>
        <v>5</v>
      </c>
      <c r="F59" s="19">
        <f>INDEX(Assumptions!$C$66:$C$75,E59)</f>
        <v>8.6499999999999994E-2</v>
      </c>
      <c r="G59" s="11">
        <f t="shared" si="4"/>
        <v>0</v>
      </c>
      <c r="H59" s="11">
        <f>Sculpting_Schedule!I59</f>
        <v>0</v>
      </c>
      <c r="I59" s="11">
        <f t="shared" si="5"/>
        <v>0</v>
      </c>
      <c r="J59" s="12" t="str">
        <f>IF(OR(A59&gt;Assumptions!$B$14,I59=0),"",Sculpting_Schedule!F59/I59)</f>
        <v/>
      </c>
      <c r="K59" s="10" t="str">
        <f>IF(A59&gt;Assumptions!$B$14,"Closed",IF(A59&lt;=Assumptions!$B$12,"Moratorium",IF(D59=0,"Closed (Repaid Early)",IF(J59&lt;Assumptions!$B$11-0.005,"BREACH - rate reset risk","OK"))))</f>
        <v>Closed</v>
      </c>
      <c r="L59" s="23">
        <f>Sculpting_Schedule!J59</f>
        <v>0</v>
      </c>
    </row>
    <row r="60" spans="1:12" ht="15" customHeight="1" x14ac:dyDescent="0.25">
      <c r="A60" s="13">
        <v>54</v>
      </c>
      <c r="B60" s="13">
        <f t="shared" si="3"/>
        <v>14</v>
      </c>
      <c r="C60" s="13" t="str">
        <f>IF(A60&gt;Assumptions!$B$14,"Closed",IF(A60&lt;=Assumptions!$B$12,"Moratorium","Repayment"))</f>
        <v>Closed</v>
      </c>
      <c r="D60" s="14">
        <f>Sculpting_Schedule!D60</f>
        <v>0</v>
      </c>
      <c r="E60" s="13">
        <f>MIN(10,ROUNDUP(A60/MAX(1,Assumptions!$B$64),0))</f>
        <v>5</v>
      </c>
      <c r="F60" s="20">
        <f>INDEX(Assumptions!$C$66:$C$75,E60)</f>
        <v>8.6499999999999994E-2</v>
      </c>
      <c r="G60" s="14">
        <f t="shared" si="4"/>
        <v>0</v>
      </c>
      <c r="H60" s="14">
        <f>Sculpting_Schedule!I60</f>
        <v>0</v>
      </c>
      <c r="I60" s="14">
        <f t="shared" si="5"/>
        <v>0</v>
      </c>
      <c r="J60" s="15" t="str">
        <f>IF(OR(A60&gt;Assumptions!$B$14,I60=0),"",Sculpting_Schedule!F60/I60)</f>
        <v/>
      </c>
      <c r="K60" s="13" t="str">
        <f>IF(A60&gt;Assumptions!$B$14,"Closed",IF(A60&lt;=Assumptions!$B$12,"Moratorium",IF(D60=0,"Closed (Repaid Early)",IF(J60&lt;Assumptions!$B$11-0.005,"BREACH - rate reset risk","OK"))))</f>
        <v>Closed</v>
      </c>
      <c r="L60" s="23">
        <f>Sculpting_Schedule!J60</f>
        <v>0</v>
      </c>
    </row>
    <row r="61" spans="1:12" ht="15" customHeight="1" x14ac:dyDescent="0.25">
      <c r="A61" s="10">
        <v>55</v>
      </c>
      <c r="B61" s="10">
        <f t="shared" si="3"/>
        <v>14</v>
      </c>
      <c r="C61" s="10" t="str">
        <f>IF(A61&gt;Assumptions!$B$14,"Closed",IF(A61&lt;=Assumptions!$B$12,"Moratorium","Repayment"))</f>
        <v>Closed</v>
      </c>
      <c r="D61" s="11">
        <f>Sculpting_Schedule!D61</f>
        <v>0</v>
      </c>
      <c r="E61" s="10">
        <f>MIN(10,ROUNDUP(A61/MAX(1,Assumptions!$B$64),0))</f>
        <v>5</v>
      </c>
      <c r="F61" s="19">
        <f>INDEX(Assumptions!$C$66:$C$75,E61)</f>
        <v>8.6499999999999994E-2</v>
      </c>
      <c r="G61" s="11">
        <f t="shared" si="4"/>
        <v>0</v>
      </c>
      <c r="H61" s="11">
        <f>Sculpting_Schedule!I61</f>
        <v>0</v>
      </c>
      <c r="I61" s="11">
        <f t="shared" si="5"/>
        <v>0</v>
      </c>
      <c r="J61" s="12" t="str">
        <f>IF(OR(A61&gt;Assumptions!$B$14,I61=0),"",Sculpting_Schedule!F61/I61)</f>
        <v/>
      </c>
      <c r="K61" s="10" t="str">
        <f>IF(A61&gt;Assumptions!$B$14,"Closed",IF(A61&lt;=Assumptions!$B$12,"Moratorium",IF(D61=0,"Closed (Repaid Early)",IF(J61&lt;Assumptions!$B$11-0.005,"BREACH - rate reset risk","OK"))))</f>
        <v>Closed</v>
      </c>
      <c r="L61" s="23">
        <f>Sculpting_Schedule!J61</f>
        <v>0</v>
      </c>
    </row>
    <row r="62" spans="1:12" ht="15" customHeight="1" x14ac:dyDescent="0.25">
      <c r="A62" s="13">
        <v>56</v>
      </c>
      <c r="B62" s="13">
        <f t="shared" si="3"/>
        <v>14</v>
      </c>
      <c r="C62" s="13" t="str">
        <f>IF(A62&gt;Assumptions!$B$14,"Closed",IF(A62&lt;=Assumptions!$B$12,"Moratorium","Repayment"))</f>
        <v>Closed</v>
      </c>
      <c r="D62" s="14">
        <f>Sculpting_Schedule!D62</f>
        <v>0</v>
      </c>
      <c r="E62" s="13">
        <f>MIN(10,ROUNDUP(A62/MAX(1,Assumptions!$B$64),0))</f>
        <v>5</v>
      </c>
      <c r="F62" s="20">
        <f>INDEX(Assumptions!$C$66:$C$75,E62)</f>
        <v>8.6499999999999994E-2</v>
      </c>
      <c r="G62" s="14">
        <f t="shared" si="4"/>
        <v>0</v>
      </c>
      <c r="H62" s="14">
        <f>Sculpting_Schedule!I62</f>
        <v>0</v>
      </c>
      <c r="I62" s="14">
        <f t="shared" si="5"/>
        <v>0</v>
      </c>
      <c r="J62" s="15" t="str">
        <f>IF(OR(A62&gt;Assumptions!$B$14,I62=0),"",Sculpting_Schedule!F62/I62)</f>
        <v/>
      </c>
      <c r="K62" s="13" t="str">
        <f>IF(A62&gt;Assumptions!$B$14,"Closed",IF(A62&lt;=Assumptions!$B$12,"Moratorium",IF(D62=0,"Closed (Repaid Early)",IF(J62&lt;Assumptions!$B$11-0.005,"BREACH - rate reset risk","OK"))))</f>
        <v>Closed</v>
      </c>
      <c r="L62" s="23">
        <f>Sculpting_Schedule!J62</f>
        <v>0</v>
      </c>
    </row>
    <row r="63" spans="1:12" ht="15" customHeight="1" x14ac:dyDescent="0.25">
      <c r="A63" s="10">
        <v>57</v>
      </c>
      <c r="B63" s="10">
        <f t="shared" si="3"/>
        <v>15</v>
      </c>
      <c r="C63" s="10" t="str">
        <f>IF(A63&gt;Assumptions!$B$14,"Closed",IF(A63&lt;=Assumptions!$B$12,"Moratorium","Repayment"))</f>
        <v>Closed</v>
      </c>
      <c r="D63" s="11">
        <f>Sculpting_Schedule!D63</f>
        <v>0</v>
      </c>
      <c r="E63" s="10">
        <f>MIN(10,ROUNDUP(A63/MAX(1,Assumptions!$B$64),0))</f>
        <v>5</v>
      </c>
      <c r="F63" s="19">
        <f>INDEX(Assumptions!$C$66:$C$75,E63)</f>
        <v>8.6499999999999994E-2</v>
      </c>
      <c r="G63" s="11">
        <f t="shared" si="4"/>
        <v>0</v>
      </c>
      <c r="H63" s="11">
        <f>Sculpting_Schedule!I63</f>
        <v>0</v>
      </c>
      <c r="I63" s="11">
        <f t="shared" si="5"/>
        <v>0</v>
      </c>
      <c r="J63" s="12" t="str">
        <f>IF(OR(A63&gt;Assumptions!$B$14,I63=0),"",Sculpting_Schedule!F63/I63)</f>
        <v/>
      </c>
      <c r="K63" s="10" t="str">
        <f>IF(A63&gt;Assumptions!$B$14,"Closed",IF(A63&lt;=Assumptions!$B$12,"Moratorium",IF(D63=0,"Closed (Repaid Early)",IF(J63&lt;Assumptions!$B$11-0.005,"BREACH - rate reset risk","OK"))))</f>
        <v>Closed</v>
      </c>
      <c r="L63" s="23">
        <f>Sculpting_Schedule!J63</f>
        <v>0</v>
      </c>
    </row>
    <row r="64" spans="1:12" ht="15" customHeight="1" x14ac:dyDescent="0.25">
      <c r="A64" s="13">
        <v>58</v>
      </c>
      <c r="B64" s="13">
        <f t="shared" si="3"/>
        <v>15</v>
      </c>
      <c r="C64" s="13" t="str">
        <f>IF(A64&gt;Assumptions!$B$14,"Closed",IF(A64&lt;=Assumptions!$B$12,"Moratorium","Repayment"))</f>
        <v>Closed</v>
      </c>
      <c r="D64" s="14">
        <f>Sculpting_Schedule!D64</f>
        <v>0</v>
      </c>
      <c r="E64" s="13">
        <f>MIN(10,ROUNDUP(A64/MAX(1,Assumptions!$B$64),0))</f>
        <v>5</v>
      </c>
      <c r="F64" s="20">
        <f>INDEX(Assumptions!$C$66:$C$75,E64)</f>
        <v>8.6499999999999994E-2</v>
      </c>
      <c r="G64" s="14">
        <f t="shared" si="4"/>
        <v>0</v>
      </c>
      <c r="H64" s="14">
        <f>Sculpting_Schedule!I64</f>
        <v>0</v>
      </c>
      <c r="I64" s="14">
        <f t="shared" si="5"/>
        <v>0</v>
      </c>
      <c r="J64" s="15" t="str">
        <f>IF(OR(A64&gt;Assumptions!$B$14,I64=0),"",Sculpting_Schedule!F64/I64)</f>
        <v/>
      </c>
      <c r="K64" s="13" t="str">
        <f>IF(A64&gt;Assumptions!$B$14,"Closed",IF(A64&lt;=Assumptions!$B$12,"Moratorium",IF(D64=0,"Closed (Repaid Early)",IF(J64&lt;Assumptions!$B$11-0.005,"BREACH - rate reset risk","OK"))))</f>
        <v>Closed</v>
      </c>
      <c r="L64" s="23">
        <f>Sculpting_Schedule!J64</f>
        <v>0</v>
      </c>
    </row>
    <row r="65" spans="1:12" ht="15" customHeight="1" x14ac:dyDescent="0.25">
      <c r="A65" s="10">
        <v>59</v>
      </c>
      <c r="B65" s="10">
        <f t="shared" si="3"/>
        <v>15</v>
      </c>
      <c r="C65" s="10" t="str">
        <f>IF(A65&gt;Assumptions!$B$14,"Closed",IF(A65&lt;=Assumptions!$B$12,"Moratorium","Repayment"))</f>
        <v>Closed</v>
      </c>
      <c r="D65" s="11">
        <f>Sculpting_Schedule!D65</f>
        <v>0</v>
      </c>
      <c r="E65" s="10">
        <f>MIN(10,ROUNDUP(A65/MAX(1,Assumptions!$B$64),0))</f>
        <v>5</v>
      </c>
      <c r="F65" s="19">
        <f>INDEX(Assumptions!$C$66:$C$75,E65)</f>
        <v>8.6499999999999994E-2</v>
      </c>
      <c r="G65" s="11">
        <f t="shared" si="4"/>
        <v>0</v>
      </c>
      <c r="H65" s="11">
        <f>Sculpting_Schedule!I65</f>
        <v>0</v>
      </c>
      <c r="I65" s="11">
        <f t="shared" si="5"/>
        <v>0</v>
      </c>
      <c r="J65" s="12" t="str">
        <f>IF(OR(A65&gt;Assumptions!$B$14,I65=0),"",Sculpting_Schedule!F65/I65)</f>
        <v/>
      </c>
      <c r="K65" s="10" t="str">
        <f>IF(A65&gt;Assumptions!$B$14,"Closed",IF(A65&lt;=Assumptions!$B$12,"Moratorium",IF(D65=0,"Closed (Repaid Early)",IF(J65&lt;Assumptions!$B$11-0.005,"BREACH - rate reset risk","OK"))))</f>
        <v>Closed</v>
      </c>
      <c r="L65" s="23">
        <f>Sculpting_Schedule!J65</f>
        <v>0</v>
      </c>
    </row>
    <row r="66" spans="1:12" ht="15" customHeight="1" x14ac:dyDescent="0.25">
      <c r="A66" s="13">
        <v>60</v>
      </c>
      <c r="B66" s="13">
        <f t="shared" si="3"/>
        <v>15</v>
      </c>
      <c r="C66" s="13" t="str">
        <f>IF(A66&gt;Assumptions!$B$14,"Closed",IF(A66&lt;=Assumptions!$B$12,"Moratorium","Repayment"))</f>
        <v>Closed</v>
      </c>
      <c r="D66" s="14">
        <f>Sculpting_Schedule!D66</f>
        <v>0</v>
      </c>
      <c r="E66" s="13">
        <f>MIN(10,ROUNDUP(A66/MAX(1,Assumptions!$B$64),0))</f>
        <v>5</v>
      </c>
      <c r="F66" s="20">
        <f>INDEX(Assumptions!$C$66:$C$75,E66)</f>
        <v>8.6499999999999994E-2</v>
      </c>
      <c r="G66" s="14">
        <f t="shared" si="4"/>
        <v>0</v>
      </c>
      <c r="H66" s="14">
        <f>Sculpting_Schedule!I66</f>
        <v>0</v>
      </c>
      <c r="I66" s="14">
        <f t="shared" si="5"/>
        <v>0</v>
      </c>
      <c r="J66" s="15" t="str">
        <f>IF(OR(A66&gt;Assumptions!$B$14,I66=0),"",Sculpting_Schedule!F66/I66)</f>
        <v/>
      </c>
      <c r="K66" s="13" t="str">
        <f>IF(A66&gt;Assumptions!$B$14,"Closed",IF(A66&lt;=Assumptions!$B$12,"Moratorium",IF(D66=0,"Closed (Repaid Early)",IF(J66&lt;Assumptions!$B$11-0.005,"BREACH - rate reset risk","OK"))))</f>
        <v>Closed</v>
      </c>
      <c r="L66" s="23">
        <f>Sculpting_Schedule!J66</f>
        <v>0</v>
      </c>
    </row>
    <row r="67" spans="1:12" ht="15" customHeight="1" x14ac:dyDescent="0.25">
      <c r="A67" s="10">
        <v>61</v>
      </c>
      <c r="B67" s="10">
        <f t="shared" si="3"/>
        <v>16</v>
      </c>
      <c r="C67" s="10" t="str">
        <f>IF(A67&gt;Assumptions!$B$14,"Closed",IF(A67&lt;=Assumptions!$B$12,"Moratorium","Repayment"))</f>
        <v>Closed</v>
      </c>
      <c r="D67" s="11">
        <f>Sculpting_Schedule!D67</f>
        <v>0</v>
      </c>
      <c r="E67" s="10">
        <f>MIN(10,ROUNDUP(A67/MAX(1,Assumptions!$B$64),0))</f>
        <v>6</v>
      </c>
      <c r="F67" s="19">
        <f>INDEX(Assumptions!$C$66:$C$75,E67)</f>
        <v>8.6499999999999994E-2</v>
      </c>
      <c r="G67" s="11">
        <f t="shared" si="4"/>
        <v>0</v>
      </c>
      <c r="H67" s="11">
        <f>Sculpting_Schedule!I67</f>
        <v>0</v>
      </c>
      <c r="I67" s="11">
        <f t="shared" si="5"/>
        <v>0</v>
      </c>
      <c r="J67" s="12" t="str">
        <f>IF(OR(A67&gt;Assumptions!$B$14,I67=0),"",Sculpting_Schedule!F67/I67)</f>
        <v/>
      </c>
      <c r="K67" s="10" t="str">
        <f>IF(A67&gt;Assumptions!$B$14,"Closed",IF(A67&lt;=Assumptions!$B$12,"Moratorium",IF(D67=0,"Closed (Repaid Early)",IF(J67&lt;Assumptions!$B$11-0.005,"BREACH - rate reset risk","OK"))))</f>
        <v>Closed</v>
      </c>
      <c r="L67" s="23">
        <f>Sculpting_Schedule!J67</f>
        <v>0</v>
      </c>
    </row>
    <row r="68" spans="1:12" ht="15" customHeight="1" x14ac:dyDescent="0.25">
      <c r="A68" s="13">
        <v>62</v>
      </c>
      <c r="B68" s="13">
        <f t="shared" si="3"/>
        <v>16</v>
      </c>
      <c r="C68" s="13" t="str">
        <f>IF(A68&gt;Assumptions!$B$14,"Closed",IF(A68&lt;=Assumptions!$B$12,"Moratorium","Repayment"))</f>
        <v>Closed</v>
      </c>
      <c r="D68" s="14">
        <f>Sculpting_Schedule!D68</f>
        <v>0</v>
      </c>
      <c r="E68" s="13">
        <f>MIN(10,ROUNDUP(A68/MAX(1,Assumptions!$B$64),0))</f>
        <v>6</v>
      </c>
      <c r="F68" s="20">
        <f>INDEX(Assumptions!$C$66:$C$75,E68)</f>
        <v>8.6499999999999994E-2</v>
      </c>
      <c r="G68" s="14">
        <f t="shared" si="4"/>
        <v>0</v>
      </c>
      <c r="H68" s="14">
        <f>Sculpting_Schedule!I68</f>
        <v>0</v>
      </c>
      <c r="I68" s="14">
        <f t="shared" si="5"/>
        <v>0</v>
      </c>
      <c r="J68" s="15" t="str">
        <f>IF(OR(A68&gt;Assumptions!$B$14,I68=0),"",Sculpting_Schedule!F68/I68)</f>
        <v/>
      </c>
      <c r="K68" s="13" t="str">
        <f>IF(A68&gt;Assumptions!$B$14,"Closed",IF(A68&lt;=Assumptions!$B$12,"Moratorium",IF(D68=0,"Closed (Repaid Early)",IF(J68&lt;Assumptions!$B$11-0.005,"BREACH - rate reset risk","OK"))))</f>
        <v>Closed</v>
      </c>
      <c r="L68" s="23">
        <f>Sculpting_Schedule!J68</f>
        <v>0</v>
      </c>
    </row>
    <row r="69" spans="1:12" ht="15" customHeight="1" x14ac:dyDescent="0.25">
      <c r="A69" s="10">
        <v>63</v>
      </c>
      <c r="B69" s="10">
        <f t="shared" si="3"/>
        <v>16</v>
      </c>
      <c r="C69" s="10" t="str">
        <f>IF(A69&gt;Assumptions!$B$14,"Closed",IF(A69&lt;=Assumptions!$B$12,"Moratorium","Repayment"))</f>
        <v>Closed</v>
      </c>
      <c r="D69" s="11">
        <f>Sculpting_Schedule!D69</f>
        <v>0</v>
      </c>
      <c r="E69" s="10">
        <f>MIN(10,ROUNDUP(A69/MAX(1,Assumptions!$B$64),0))</f>
        <v>6</v>
      </c>
      <c r="F69" s="19">
        <f>INDEX(Assumptions!$C$66:$C$75,E69)</f>
        <v>8.6499999999999994E-2</v>
      </c>
      <c r="G69" s="11">
        <f t="shared" si="4"/>
        <v>0</v>
      </c>
      <c r="H69" s="11">
        <f>Sculpting_Schedule!I69</f>
        <v>0</v>
      </c>
      <c r="I69" s="11">
        <f t="shared" si="5"/>
        <v>0</v>
      </c>
      <c r="J69" s="12" t="str">
        <f>IF(OR(A69&gt;Assumptions!$B$14,I69=0),"",Sculpting_Schedule!F69/I69)</f>
        <v/>
      </c>
      <c r="K69" s="10" t="str">
        <f>IF(A69&gt;Assumptions!$B$14,"Closed",IF(A69&lt;=Assumptions!$B$12,"Moratorium",IF(D69=0,"Closed (Repaid Early)",IF(J69&lt;Assumptions!$B$11-0.005,"BREACH - rate reset risk","OK"))))</f>
        <v>Closed</v>
      </c>
      <c r="L69" s="23">
        <f>Sculpting_Schedule!J69</f>
        <v>0</v>
      </c>
    </row>
    <row r="70" spans="1:12" ht="15" customHeight="1" x14ac:dyDescent="0.25">
      <c r="A70" s="13">
        <v>64</v>
      </c>
      <c r="B70" s="13">
        <f t="shared" si="3"/>
        <v>16</v>
      </c>
      <c r="C70" s="13" t="str">
        <f>IF(A70&gt;Assumptions!$B$14,"Closed",IF(A70&lt;=Assumptions!$B$12,"Moratorium","Repayment"))</f>
        <v>Closed</v>
      </c>
      <c r="D70" s="14">
        <f>Sculpting_Schedule!D70</f>
        <v>0</v>
      </c>
      <c r="E70" s="13">
        <f>MIN(10,ROUNDUP(A70/MAX(1,Assumptions!$B$64),0))</f>
        <v>6</v>
      </c>
      <c r="F70" s="20">
        <f>INDEX(Assumptions!$C$66:$C$75,E70)</f>
        <v>8.6499999999999994E-2</v>
      </c>
      <c r="G70" s="14">
        <f t="shared" si="4"/>
        <v>0</v>
      </c>
      <c r="H70" s="14">
        <f>Sculpting_Schedule!I70</f>
        <v>0</v>
      </c>
      <c r="I70" s="14">
        <f t="shared" si="5"/>
        <v>0</v>
      </c>
      <c r="J70" s="15" t="str">
        <f>IF(OR(A70&gt;Assumptions!$B$14,I70=0),"",Sculpting_Schedule!F70/I70)</f>
        <v/>
      </c>
      <c r="K70" s="13" t="str">
        <f>IF(A70&gt;Assumptions!$B$14,"Closed",IF(A70&lt;=Assumptions!$B$12,"Moratorium",IF(D70=0,"Closed (Repaid Early)",IF(J70&lt;Assumptions!$B$11-0.005,"BREACH - rate reset risk","OK"))))</f>
        <v>Closed</v>
      </c>
      <c r="L70" s="23">
        <f>Sculpting_Schedule!J70</f>
        <v>0</v>
      </c>
    </row>
    <row r="71" spans="1:12" ht="15" customHeight="1" x14ac:dyDescent="0.25">
      <c r="A71" s="10">
        <v>65</v>
      </c>
      <c r="B71" s="10">
        <f t="shared" ref="B71:B102" si="6">ROUNDUP(A71/4,0)</f>
        <v>17</v>
      </c>
      <c r="C71" s="10" t="str">
        <f>IF(A71&gt;Assumptions!$B$14,"Closed",IF(A71&lt;=Assumptions!$B$12,"Moratorium","Repayment"))</f>
        <v>Closed</v>
      </c>
      <c r="D71" s="11">
        <f>Sculpting_Schedule!D71</f>
        <v>0</v>
      </c>
      <c r="E71" s="10">
        <f>MIN(10,ROUNDUP(A71/MAX(1,Assumptions!$B$64),0))</f>
        <v>6</v>
      </c>
      <c r="F71" s="19">
        <f>INDEX(Assumptions!$C$66:$C$75,E71)</f>
        <v>8.6499999999999994E-2</v>
      </c>
      <c r="G71" s="11">
        <f t="shared" ref="G71:G102" si="7">D71*F71/4</f>
        <v>0</v>
      </c>
      <c r="H71" s="11">
        <f>Sculpting_Schedule!I71</f>
        <v>0</v>
      </c>
      <c r="I71" s="11">
        <f t="shared" ref="I71:I102" si="8">G71+H71</f>
        <v>0</v>
      </c>
      <c r="J71" s="12" t="str">
        <f>IF(OR(A71&gt;Assumptions!$B$14,I71=0),"",Sculpting_Schedule!F71/I71)</f>
        <v/>
      </c>
      <c r="K71" s="10" t="str">
        <f>IF(A71&gt;Assumptions!$B$14,"Closed",IF(A71&lt;=Assumptions!$B$12,"Moratorium",IF(D71=0,"Closed (Repaid Early)",IF(J71&lt;Assumptions!$B$11-0.005,"BREACH - rate reset risk","OK"))))</f>
        <v>Closed</v>
      </c>
      <c r="L71" s="23">
        <f>Sculpting_Schedule!J71</f>
        <v>0</v>
      </c>
    </row>
    <row r="72" spans="1:12" ht="15" customHeight="1" x14ac:dyDescent="0.25">
      <c r="A72" s="13">
        <v>66</v>
      </c>
      <c r="B72" s="13">
        <f t="shared" si="6"/>
        <v>17</v>
      </c>
      <c r="C72" s="13" t="str">
        <f>IF(A72&gt;Assumptions!$B$14,"Closed",IF(A72&lt;=Assumptions!$B$12,"Moratorium","Repayment"))</f>
        <v>Closed</v>
      </c>
      <c r="D72" s="14">
        <f>Sculpting_Schedule!D72</f>
        <v>0</v>
      </c>
      <c r="E72" s="13">
        <f>MIN(10,ROUNDUP(A72/MAX(1,Assumptions!$B$64),0))</f>
        <v>6</v>
      </c>
      <c r="F72" s="20">
        <f>INDEX(Assumptions!$C$66:$C$75,E72)</f>
        <v>8.6499999999999994E-2</v>
      </c>
      <c r="G72" s="14">
        <f t="shared" si="7"/>
        <v>0</v>
      </c>
      <c r="H72" s="14">
        <f>Sculpting_Schedule!I72</f>
        <v>0</v>
      </c>
      <c r="I72" s="14">
        <f t="shared" si="8"/>
        <v>0</v>
      </c>
      <c r="J72" s="15" t="str">
        <f>IF(OR(A72&gt;Assumptions!$B$14,I72=0),"",Sculpting_Schedule!F72/I72)</f>
        <v/>
      </c>
      <c r="K72" s="13" t="str">
        <f>IF(A72&gt;Assumptions!$B$14,"Closed",IF(A72&lt;=Assumptions!$B$12,"Moratorium",IF(D72=0,"Closed (Repaid Early)",IF(J72&lt;Assumptions!$B$11-0.005,"BREACH - rate reset risk","OK"))))</f>
        <v>Closed</v>
      </c>
      <c r="L72" s="23">
        <f>Sculpting_Schedule!J72</f>
        <v>0</v>
      </c>
    </row>
    <row r="73" spans="1:12" ht="15" customHeight="1" x14ac:dyDescent="0.25">
      <c r="A73" s="10">
        <v>67</v>
      </c>
      <c r="B73" s="10">
        <f t="shared" si="6"/>
        <v>17</v>
      </c>
      <c r="C73" s="10" t="str">
        <f>IF(A73&gt;Assumptions!$B$14,"Closed",IF(A73&lt;=Assumptions!$B$12,"Moratorium","Repayment"))</f>
        <v>Closed</v>
      </c>
      <c r="D73" s="11">
        <f>Sculpting_Schedule!D73</f>
        <v>0</v>
      </c>
      <c r="E73" s="10">
        <f>MIN(10,ROUNDUP(A73/MAX(1,Assumptions!$B$64),0))</f>
        <v>6</v>
      </c>
      <c r="F73" s="19">
        <f>INDEX(Assumptions!$C$66:$C$75,E73)</f>
        <v>8.6499999999999994E-2</v>
      </c>
      <c r="G73" s="11">
        <f t="shared" si="7"/>
        <v>0</v>
      </c>
      <c r="H73" s="11">
        <f>Sculpting_Schedule!I73</f>
        <v>0</v>
      </c>
      <c r="I73" s="11">
        <f t="shared" si="8"/>
        <v>0</v>
      </c>
      <c r="J73" s="12" t="str">
        <f>IF(OR(A73&gt;Assumptions!$B$14,I73=0),"",Sculpting_Schedule!F73/I73)</f>
        <v/>
      </c>
      <c r="K73" s="10" t="str">
        <f>IF(A73&gt;Assumptions!$B$14,"Closed",IF(A73&lt;=Assumptions!$B$12,"Moratorium",IF(D73=0,"Closed (Repaid Early)",IF(J73&lt;Assumptions!$B$11-0.005,"BREACH - rate reset risk","OK"))))</f>
        <v>Closed</v>
      </c>
      <c r="L73" s="23">
        <f>Sculpting_Schedule!J73</f>
        <v>0</v>
      </c>
    </row>
    <row r="74" spans="1:12" ht="15" customHeight="1" x14ac:dyDescent="0.25">
      <c r="A74" s="13">
        <v>68</v>
      </c>
      <c r="B74" s="13">
        <f t="shared" si="6"/>
        <v>17</v>
      </c>
      <c r="C74" s="13" t="str">
        <f>IF(A74&gt;Assumptions!$B$14,"Closed",IF(A74&lt;=Assumptions!$B$12,"Moratorium","Repayment"))</f>
        <v>Closed</v>
      </c>
      <c r="D74" s="14">
        <f>Sculpting_Schedule!D74</f>
        <v>0</v>
      </c>
      <c r="E74" s="13">
        <f>MIN(10,ROUNDUP(A74/MAX(1,Assumptions!$B$64),0))</f>
        <v>6</v>
      </c>
      <c r="F74" s="20">
        <f>INDEX(Assumptions!$C$66:$C$75,E74)</f>
        <v>8.6499999999999994E-2</v>
      </c>
      <c r="G74" s="14">
        <f t="shared" si="7"/>
        <v>0</v>
      </c>
      <c r="H74" s="14">
        <f>Sculpting_Schedule!I74</f>
        <v>0</v>
      </c>
      <c r="I74" s="14">
        <f t="shared" si="8"/>
        <v>0</v>
      </c>
      <c r="J74" s="15" t="str">
        <f>IF(OR(A74&gt;Assumptions!$B$14,I74=0),"",Sculpting_Schedule!F74/I74)</f>
        <v/>
      </c>
      <c r="K74" s="13" t="str">
        <f>IF(A74&gt;Assumptions!$B$14,"Closed",IF(A74&lt;=Assumptions!$B$12,"Moratorium",IF(D74=0,"Closed (Repaid Early)",IF(J74&lt;Assumptions!$B$11-0.005,"BREACH - rate reset risk","OK"))))</f>
        <v>Closed</v>
      </c>
      <c r="L74" s="23">
        <f>Sculpting_Schedule!J74</f>
        <v>0</v>
      </c>
    </row>
    <row r="75" spans="1:12" ht="15" customHeight="1" x14ac:dyDescent="0.25">
      <c r="A75" s="10">
        <v>69</v>
      </c>
      <c r="B75" s="10">
        <f t="shared" si="6"/>
        <v>18</v>
      </c>
      <c r="C75" s="10" t="str">
        <f>IF(A75&gt;Assumptions!$B$14,"Closed",IF(A75&lt;=Assumptions!$B$12,"Moratorium","Repayment"))</f>
        <v>Closed</v>
      </c>
      <c r="D75" s="11">
        <f>Sculpting_Schedule!D75</f>
        <v>0</v>
      </c>
      <c r="E75" s="10">
        <f>MIN(10,ROUNDUP(A75/MAX(1,Assumptions!$B$64),0))</f>
        <v>6</v>
      </c>
      <c r="F75" s="19">
        <f>INDEX(Assumptions!$C$66:$C$75,E75)</f>
        <v>8.6499999999999994E-2</v>
      </c>
      <c r="G75" s="11">
        <f t="shared" si="7"/>
        <v>0</v>
      </c>
      <c r="H75" s="11">
        <f>Sculpting_Schedule!I75</f>
        <v>0</v>
      </c>
      <c r="I75" s="11">
        <f t="shared" si="8"/>
        <v>0</v>
      </c>
      <c r="J75" s="12" t="str">
        <f>IF(OR(A75&gt;Assumptions!$B$14,I75=0),"",Sculpting_Schedule!F75/I75)</f>
        <v/>
      </c>
      <c r="K75" s="10" t="str">
        <f>IF(A75&gt;Assumptions!$B$14,"Closed",IF(A75&lt;=Assumptions!$B$12,"Moratorium",IF(D75=0,"Closed (Repaid Early)",IF(J75&lt;Assumptions!$B$11-0.005,"BREACH - rate reset risk","OK"))))</f>
        <v>Closed</v>
      </c>
      <c r="L75" s="23">
        <f>Sculpting_Schedule!J75</f>
        <v>0</v>
      </c>
    </row>
    <row r="76" spans="1:12" ht="15" customHeight="1" x14ac:dyDescent="0.25">
      <c r="A76" s="13">
        <v>70</v>
      </c>
      <c r="B76" s="13">
        <f t="shared" si="6"/>
        <v>18</v>
      </c>
      <c r="C76" s="13" t="str">
        <f>IF(A76&gt;Assumptions!$B$14,"Closed",IF(A76&lt;=Assumptions!$B$12,"Moratorium","Repayment"))</f>
        <v>Closed</v>
      </c>
      <c r="D76" s="14">
        <f>Sculpting_Schedule!D76</f>
        <v>0</v>
      </c>
      <c r="E76" s="13">
        <f>MIN(10,ROUNDUP(A76/MAX(1,Assumptions!$B$64),0))</f>
        <v>6</v>
      </c>
      <c r="F76" s="20">
        <f>INDEX(Assumptions!$C$66:$C$75,E76)</f>
        <v>8.6499999999999994E-2</v>
      </c>
      <c r="G76" s="14">
        <f t="shared" si="7"/>
        <v>0</v>
      </c>
      <c r="H76" s="14">
        <f>Sculpting_Schedule!I76</f>
        <v>0</v>
      </c>
      <c r="I76" s="14">
        <f t="shared" si="8"/>
        <v>0</v>
      </c>
      <c r="J76" s="15" t="str">
        <f>IF(OR(A76&gt;Assumptions!$B$14,I76=0),"",Sculpting_Schedule!F76/I76)</f>
        <v/>
      </c>
      <c r="K76" s="13" t="str">
        <f>IF(A76&gt;Assumptions!$B$14,"Closed",IF(A76&lt;=Assumptions!$B$12,"Moratorium",IF(D76=0,"Closed (Repaid Early)",IF(J76&lt;Assumptions!$B$11-0.005,"BREACH - rate reset risk","OK"))))</f>
        <v>Closed</v>
      </c>
      <c r="L76" s="23">
        <f>Sculpting_Schedule!J76</f>
        <v>0</v>
      </c>
    </row>
    <row r="77" spans="1:12" ht="15" customHeight="1" x14ac:dyDescent="0.25">
      <c r="A77" s="10">
        <v>71</v>
      </c>
      <c r="B77" s="10">
        <f t="shared" si="6"/>
        <v>18</v>
      </c>
      <c r="C77" s="10" t="str">
        <f>IF(A77&gt;Assumptions!$B$14,"Closed",IF(A77&lt;=Assumptions!$B$12,"Moratorium","Repayment"))</f>
        <v>Closed</v>
      </c>
      <c r="D77" s="11">
        <f>Sculpting_Schedule!D77</f>
        <v>0</v>
      </c>
      <c r="E77" s="10">
        <f>MIN(10,ROUNDUP(A77/MAX(1,Assumptions!$B$64),0))</f>
        <v>6</v>
      </c>
      <c r="F77" s="19">
        <f>INDEX(Assumptions!$C$66:$C$75,E77)</f>
        <v>8.6499999999999994E-2</v>
      </c>
      <c r="G77" s="11">
        <f t="shared" si="7"/>
        <v>0</v>
      </c>
      <c r="H77" s="11">
        <f>Sculpting_Schedule!I77</f>
        <v>0</v>
      </c>
      <c r="I77" s="11">
        <f t="shared" si="8"/>
        <v>0</v>
      </c>
      <c r="J77" s="12" t="str">
        <f>IF(OR(A77&gt;Assumptions!$B$14,I77=0),"",Sculpting_Schedule!F77/I77)</f>
        <v/>
      </c>
      <c r="K77" s="10" t="str">
        <f>IF(A77&gt;Assumptions!$B$14,"Closed",IF(A77&lt;=Assumptions!$B$12,"Moratorium",IF(D77=0,"Closed (Repaid Early)",IF(J77&lt;Assumptions!$B$11-0.005,"BREACH - rate reset risk","OK"))))</f>
        <v>Closed</v>
      </c>
      <c r="L77" s="23">
        <f>Sculpting_Schedule!J77</f>
        <v>0</v>
      </c>
    </row>
    <row r="78" spans="1:12" ht="15" customHeight="1" x14ac:dyDescent="0.25">
      <c r="A78" s="13">
        <v>72</v>
      </c>
      <c r="B78" s="13">
        <f t="shared" si="6"/>
        <v>18</v>
      </c>
      <c r="C78" s="13" t="str">
        <f>IF(A78&gt;Assumptions!$B$14,"Closed",IF(A78&lt;=Assumptions!$B$12,"Moratorium","Repayment"))</f>
        <v>Closed</v>
      </c>
      <c r="D78" s="14">
        <f>Sculpting_Schedule!D78</f>
        <v>0</v>
      </c>
      <c r="E78" s="13">
        <f>MIN(10,ROUNDUP(A78/MAX(1,Assumptions!$B$64),0))</f>
        <v>6</v>
      </c>
      <c r="F78" s="20">
        <f>INDEX(Assumptions!$C$66:$C$75,E78)</f>
        <v>8.6499999999999994E-2</v>
      </c>
      <c r="G78" s="14">
        <f t="shared" si="7"/>
        <v>0</v>
      </c>
      <c r="H78" s="14">
        <f>Sculpting_Schedule!I78</f>
        <v>0</v>
      </c>
      <c r="I78" s="14">
        <f t="shared" si="8"/>
        <v>0</v>
      </c>
      <c r="J78" s="15" t="str">
        <f>IF(OR(A78&gt;Assumptions!$B$14,I78=0),"",Sculpting_Schedule!F78/I78)</f>
        <v/>
      </c>
      <c r="K78" s="13" t="str">
        <f>IF(A78&gt;Assumptions!$B$14,"Closed",IF(A78&lt;=Assumptions!$B$12,"Moratorium",IF(D78=0,"Closed (Repaid Early)",IF(J78&lt;Assumptions!$B$11-0.005,"BREACH - rate reset risk","OK"))))</f>
        <v>Closed</v>
      </c>
      <c r="L78" s="23">
        <f>Sculpting_Schedule!J78</f>
        <v>0</v>
      </c>
    </row>
    <row r="79" spans="1:12" ht="15" customHeight="1" x14ac:dyDescent="0.25">
      <c r="A79" s="10">
        <v>73</v>
      </c>
      <c r="B79" s="10">
        <f t="shared" si="6"/>
        <v>19</v>
      </c>
      <c r="C79" s="10" t="str">
        <f>IF(A79&gt;Assumptions!$B$14,"Closed",IF(A79&lt;=Assumptions!$B$12,"Moratorium","Repayment"))</f>
        <v>Closed</v>
      </c>
      <c r="D79" s="11">
        <f>Sculpting_Schedule!D79</f>
        <v>0</v>
      </c>
      <c r="E79" s="10">
        <f>MIN(10,ROUNDUP(A79/MAX(1,Assumptions!$B$64),0))</f>
        <v>7</v>
      </c>
      <c r="F79" s="19">
        <f>INDEX(Assumptions!$C$66:$C$75,E79)</f>
        <v>8.6499999999999994E-2</v>
      </c>
      <c r="G79" s="11">
        <f t="shared" si="7"/>
        <v>0</v>
      </c>
      <c r="H79" s="11">
        <f>Sculpting_Schedule!I79</f>
        <v>0</v>
      </c>
      <c r="I79" s="11">
        <f t="shared" si="8"/>
        <v>0</v>
      </c>
      <c r="J79" s="12" t="str">
        <f>IF(OR(A79&gt;Assumptions!$B$14,I79=0),"",Sculpting_Schedule!F79/I79)</f>
        <v/>
      </c>
      <c r="K79" s="10" t="str">
        <f>IF(A79&gt;Assumptions!$B$14,"Closed",IF(A79&lt;=Assumptions!$B$12,"Moratorium",IF(D79=0,"Closed (Repaid Early)",IF(J79&lt;Assumptions!$B$11-0.005,"BREACH - rate reset risk","OK"))))</f>
        <v>Closed</v>
      </c>
      <c r="L79" s="23">
        <f>Sculpting_Schedule!J79</f>
        <v>0</v>
      </c>
    </row>
    <row r="80" spans="1:12" ht="15" customHeight="1" x14ac:dyDescent="0.25">
      <c r="A80" s="13">
        <v>74</v>
      </c>
      <c r="B80" s="13">
        <f t="shared" si="6"/>
        <v>19</v>
      </c>
      <c r="C80" s="13" t="str">
        <f>IF(A80&gt;Assumptions!$B$14,"Closed",IF(A80&lt;=Assumptions!$B$12,"Moratorium","Repayment"))</f>
        <v>Closed</v>
      </c>
      <c r="D80" s="14">
        <f>Sculpting_Schedule!D80</f>
        <v>0</v>
      </c>
      <c r="E80" s="13">
        <f>MIN(10,ROUNDUP(A80/MAX(1,Assumptions!$B$64),0))</f>
        <v>7</v>
      </c>
      <c r="F80" s="20">
        <f>INDEX(Assumptions!$C$66:$C$75,E80)</f>
        <v>8.6499999999999994E-2</v>
      </c>
      <c r="G80" s="14">
        <f t="shared" si="7"/>
        <v>0</v>
      </c>
      <c r="H80" s="14">
        <f>Sculpting_Schedule!I80</f>
        <v>0</v>
      </c>
      <c r="I80" s="14">
        <f t="shared" si="8"/>
        <v>0</v>
      </c>
      <c r="J80" s="15" t="str">
        <f>IF(OR(A80&gt;Assumptions!$B$14,I80=0),"",Sculpting_Schedule!F80/I80)</f>
        <v/>
      </c>
      <c r="K80" s="13" t="str">
        <f>IF(A80&gt;Assumptions!$B$14,"Closed",IF(A80&lt;=Assumptions!$B$12,"Moratorium",IF(D80=0,"Closed (Repaid Early)",IF(J80&lt;Assumptions!$B$11-0.005,"BREACH - rate reset risk","OK"))))</f>
        <v>Closed</v>
      </c>
      <c r="L80" s="23">
        <f>Sculpting_Schedule!J80</f>
        <v>0</v>
      </c>
    </row>
    <row r="81" spans="1:12" ht="15" customHeight="1" x14ac:dyDescent="0.25">
      <c r="A81" s="10">
        <v>75</v>
      </c>
      <c r="B81" s="10">
        <f t="shared" si="6"/>
        <v>19</v>
      </c>
      <c r="C81" s="10" t="str">
        <f>IF(A81&gt;Assumptions!$B$14,"Closed",IF(A81&lt;=Assumptions!$B$12,"Moratorium","Repayment"))</f>
        <v>Closed</v>
      </c>
      <c r="D81" s="11">
        <f>Sculpting_Schedule!D81</f>
        <v>0</v>
      </c>
      <c r="E81" s="10">
        <f>MIN(10,ROUNDUP(A81/MAX(1,Assumptions!$B$64),0))</f>
        <v>7</v>
      </c>
      <c r="F81" s="19">
        <f>INDEX(Assumptions!$C$66:$C$75,E81)</f>
        <v>8.6499999999999994E-2</v>
      </c>
      <c r="G81" s="11">
        <f t="shared" si="7"/>
        <v>0</v>
      </c>
      <c r="H81" s="11">
        <f>Sculpting_Schedule!I81</f>
        <v>0</v>
      </c>
      <c r="I81" s="11">
        <f t="shared" si="8"/>
        <v>0</v>
      </c>
      <c r="J81" s="12" t="str">
        <f>IF(OR(A81&gt;Assumptions!$B$14,I81=0),"",Sculpting_Schedule!F81/I81)</f>
        <v/>
      </c>
      <c r="K81" s="10" t="str">
        <f>IF(A81&gt;Assumptions!$B$14,"Closed",IF(A81&lt;=Assumptions!$B$12,"Moratorium",IF(D81=0,"Closed (Repaid Early)",IF(J81&lt;Assumptions!$B$11-0.005,"BREACH - rate reset risk","OK"))))</f>
        <v>Closed</v>
      </c>
      <c r="L81" s="23">
        <f>Sculpting_Schedule!J81</f>
        <v>0</v>
      </c>
    </row>
    <row r="82" spans="1:12" ht="15" customHeight="1" x14ac:dyDescent="0.25">
      <c r="A82" s="13">
        <v>76</v>
      </c>
      <c r="B82" s="13">
        <f t="shared" si="6"/>
        <v>19</v>
      </c>
      <c r="C82" s="13" t="str">
        <f>IF(A82&gt;Assumptions!$B$14,"Closed",IF(A82&lt;=Assumptions!$B$12,"Moratorium","Repayment"))</f>
        <v>Closed</v>
      </c>
      <c r="D82" s="14">
        <f>Sculpting_Schedule!D82</f>
        <v>0</v>
      </c>
      <c r="E82" s="13">
        <f>MIN(10,ROUNDUP(A82/MAX(1,Assumptions!$B$64),0))</f>
        <v>7</v>
      </c>
      <c r="F82" s="20">
        <f>INDEX(Assumptions!$C$66:$C$75,E82)</f>
        <v>8.6499999999999994E-2</v>
      </c>
      <c r="G82" s="14">
        <f t="shared" si="7"/>
        <v>0</v>
      </c>
      <c r="H82" s="14">
        <f>Sculpting_Schedule!I82</f>
        <v>0</v>
      </c>
      <c r="I82" s="14">
        <f t="shared" si="8"/>
        <v>0</v>
      </c>
      <c r="J82" s="15" t="str">
        <f>IF(OR(A82&gt;Assumptions!$B$14,I82=0),"",Sculpting_Schedule!F82/I82)</f>
        <v/>
      </c>
      <c r="K82" s="13" t="str">
        <f>IF(A82&gt;Assumptions!$B$14,"Closed",IF(A82&lt;=Assumptions!$B$12,"Moratorium",IF(D82=0,"Closed (Repaid Early)",IF(J82&lt;Assumptions!$B$11-0.005,"BREACH - rate reset risk","OK"))))</f>
        <v>Closed</v>
      </c>
      <c r="L82" s="23">
        <f>Sculpting_Schedule!J82</f>
        <v>0</v>
      </c>
    </row>
    <row r="83" spans="1:12" ht="15" customHeight="1" x14ac:dyDescent="0.25">
      <c r="A83" s="10">
        <v>77</v>
      </c>
      <c r="B83" s="10">
        <f t="shared" si="6"/>
        <v>20</v>
      </c>
      <c r="C83" s="10" t="str">
        <f>IF(A83&gt;Assumptions!$B$14,"Closed",IF(A83&lt;=Assumptions!$B$12,"Moratorium","Repayment"))</f>
        <v>Closed</v>
      </c>
      <c r="D83" s="11">
        <f>Sculpting_Schedule!D83</f>
        <v>0</v>
      </c>
      <c r="E83" s="10">
        <f>MIN(10,ROUNDUP(A83/MAX(1,Assumptions!$B$64),0))</f>
        <v>7</v>
      </c>
      <c r="F83" s="19">
        <f>INDEX(Assumptions!$C$66:$C$75,E83)</f>
        <v>8.6499999999999994E-2</v>
      </c>
      <c r="G83" s="11">
        <f t="shared" si="7"/>
        <v>0</v>
      </c>
      <c r="H83" s="11">
        <f>Sculpting_Schedule!I83</f>
        <v>0</v>
      </c>
      <c r="I83" s="11">
        <f t="shared" si="8"/>
        <v>0</v>
      </c>
      <c r="J83" s="12" t="str">
        <f>IF(OR(A83&gt;Assumptions!$B$14,I83=0),"",Sculpting_Schedule!F83/I83)</f>
        <v/>
      </c>
      <c r="K83" s="10" t="str">
        <f>IF(A83&gt;Assumptions!$B$14,"Closed",IF(A83&lt;=Assumptions!$B$12,"Moratorium",IF(D83=0,"Closed (Repaid Early)",IF(J83&lt;Assumptions!$B$11-0.005,"BREACH - rate reset risk","OK"))))</f>
        <v>Closed</v>
      </c>
      <c r="L83" s="23">
        <f>Sculpting_Schedule!J83</f>
        <v>0</v>
      </c>
    </row>
    <row r="84" spans="1:12" ht="15" customHeight="1" x14ac:dyDescent="0.25">
      <c r="A84" s="13">
        <v>78</v>
      </c>
      <c r="B84" s="13">
        <f t="shared" si="6"/>
        <v>20</v>
      </c>
      <c r="C84" s="13" t="str">
        <f>IF(A84&gt;Assumptions!$B$14,"Closed",IF(A84&lt;=Assumptions!$B$12,"Moratorium","Repayment"))</f>
        <v>Closed</v>
      </c>
      <c r="D84" s="14">
        <f>Sculpting_Schedule!D84</f>
        <v>0</v>
      </c>
      <c r="E84" s="13">
        <f>MIN(10,ROUNDUP(A84/MAX(1,Assumptions!$B$64),0))</f>
        <v>7</v>
      </c>
      <c r="F84" s="20">
        <f>INDEX(Assumptions!$C$66:$C$75,E84)</f>
        <v>8.6499999999999994E-2</v>
      </c>
      <c r="G84" s="14">
        <f t="shared" si="7"/>
        <v>0</v>
      </c>
      <c r="H84" s="14">
        <f>Sculpting_Schedule!I84</f>
        <v>0</v>
      </c>
      <c r="I84" s="14">
        <f t="shared" si="8"/>
        <v>0</v>
      </c>
      <c r="J84" s="15" t="str">
        <f>IF(OR(A84&gt;Assumptions!$B$14,I84=0),"",Sculpting_Schedule!F84/I84)</f>
        <v/>
      </c>
      <c r="K84" s="13" t="str">
        <f>IF(A84&gt;Assumptions!$B$14,"Closed",IF(A84&lt;=Assumptions!$B$12,"Moratorium",IF(D84=0,"Closed (Repaid Early)",IF(J84&lt;Assumptions!$B$11-0.005,"BREACH - rate reset risk","OK"))))</f>
        <v>Closed</v>
      </c>
      <c r="L84" s="23">
        <f>Sculpting_Schedule!J84</f>
        <v>0</v>
      </c>
    </row>
    <row r="85" spans="1:12" ht="15" customHeight="1" x14ac:dyDescent="0.25">
      <c r="A85" s="10">
        <v>79</v>
      </c>
      <c r="B85" s="10">
        <f t="shared" si="6"/>
        <v>20</v>
      </c>
      <c r="C85" s="10" t="str">
        <f>IF(A85&gt;Assumptions!$B$14,"Closed",IF(A85&lt;=Assumptions!$B$12,"Moratorium","Repayment"))</f>
        <v>Closed</v>
      </c>
      <c r="D85" s="11">
        <f>Sculpting_Schedule!D85</f>
        <v>0</v>
      </c>
      <c r="E85" s="10">
        <f>MIN(10,ROUNDUP(A85/MAX(1,Assumptions!$B$64),0))</f>
        <v>7</v>
      </c>
      <c r="F85" s="19">
        <f>INDEX(Assumptions!$C$66:$C$75,E85)</f>
        <v>8.6499999999999994E-2</v>
      </c>
      <c r="G85" s="11">
        <f t="shared" si="7"/>
        <v>0</v>
      </c>
      <c r="H85" s="11">
        <f>Sculpting_Schedule!I85</f>
        <v>0</v>
      </c>
      <c r="I85" s="11">
        <f t="shared" si="8"/>
        <v>0</v>
      </c>
      <c r="J85" s="12" t="str">
        <f>IF(OR(A85&gt;Assumptions!$B$14,I85=0),"",Sculpting_Schedule!F85/I85)</f>
        <v/>
      </c>
      <c r="K85" s="10" t="str">
        <f>IF(A85&gt;Assumptions!$B$14,"Closed",IF(A85&lt;=Assumptions!$B$12,"Moratorium",IF(D85=0,"Closed (Repaid Early)",IF(J85&lt;Assumptions!$B$11-0.005,"BREACH - rate reset risk","OK"))))</f>
        <v>Closed</v>
      </c>
      <c r="L85" s="23">
        <f>Sculpting_Schedule!J85</f>
        <v>0</v>
      </c>
    </row>
    <row r="86" spans="1:12" ht="15" customHeight="1" x14ac:dyDescent="0.25">
      <c r="A86" s="13">
        <v>80</v>
      </c>
      <c r="B86" s="13">
        <f t="shared" si="6"/>
        <v>20</v>
      </c>
      <c r="C86" s="13" t="str">
        <f>IF(A86&gt;Assumptions!$B$14,"Closed",IF(A86&lt;=Assumptions!$B$12,"Moratorium","Repayment"))</f>
        <v>Closed</v>
      </c>
      <c r="D86" s="14">
        <f>Sculpting_Schedule!D86</f>
        <v>0</v>
      </c>
      <c r="E86" s="13">
        <f>MIN(10,ROUNDUP(A86/MAX(1,Assumptions!$B$64),0))</f>
        <v>7</v>
      </c>
      <c r="F86" s="20">
        <f>INDEX(Assumptions!$C$66:$C$75,E86)</f>
        <v>8.6499999999999994E-2</v>
      </c>
      <c r="G86" s="14">
        <f t="shared" si="7"/>
        <v>0</v>
      </c>
      <c r="H86" s="14">
        <f>Sculpting_Schedule!I86</f>
        <v>0</v>
      </c>
      <c r="I86" s="14">
        <f t="shared" si="8"/>
        <v>0</v>
      </c>
      <c r="J86" s="15" t="str">
        <f>IF(OR(A86&gt;Assumptions!$B$14,I86=0),"",Sculpting_Schedule!F86/I86)</f>
        <v/>
      </c>
      <c r="K86" s="13" t="str">
        <f>IF(A86&gt;Assumptions!$B$14,"Closed",IF(A86&lt;=Assumptions!$B$12,"Moratorium",IF(D86=0,"Closed (Repaid Early)",IF(J86&lt;Assumptions!$B$11-0.005,"BREACH - rate reset risk","OK"))))</f>
        <v>Closed</v>
      </c>
      <c r="L86" s="23">
        <f>Sculpting_Schedule!J86</f>
        <v>0</v>
      </c>
    </row>
    <row r="87" spans="1:12" ht="15" customHeight="1" x14ac:dyDescent="0.25">
      <c r="A87" s="10">
        <v>81</v>
      </c>
      <c r="B87" s="10">
        <f t="shared" si="6"/>
        <v>21</v>
      </c>
      <c r="C87" s="10" t="str">
        <f>IF(A87&gt;Assumptions!$B$14,"Closed",IF(A87&lt;=Assumptions!$B$12,"Moratorium","Repayment"))</f>
        <v>Closed</v>
      </c>
      <c r="D87" s="11">
        <f>Sculpting_Schedule!D87</f>
        <v>0</v>
      </c>
      <c r="E87" s="10">
        <f>MIN(10,ROUNDUP(A87/MAX(1,Assumptions!$B$64),0))</f>
        <v>7</v>
      </c>
      <c r="F87" s="19">
        <f>INDEX(Assumptions!$C$66:$C$75,E87)</f>
        <v>8.6499999999999994E-2</v>
      </c>
      <c r="G87" s="11">
        <f t="shared" si="7"/>
        <v>0</v>
      </c>
      <c r="H87" s="11">
        <f>Sculpting_Schedule!I87</f>
        <v>0</v>
      </c>
      <c r="I87" s="11">
        <f t="shared" si="8"/>
        <v>0</v>
      </c>
      <c r="J87" s="12" t="str">
        <f>IF(OR(A87&gt;Assumptions!$B$14,I87=0),"",Sculpting_Schedule!F87/I87)</f>
        <v/>
      </c>
      <c r="K87" s="10" t="str">
        <f>IF(A87&gt;Assumptions!$B$14,"Closed",IF(A87&lt;=Assumptions!$B$12,"Moratorium",IF(D87=0,"Closed (Repaid Early)",IF(J87&lt;Assumptions!$B$11-0.005,"BREACH - rate reset risk","OK"))))</f>
        <v>Closed</v>
      </c>
      <c r="L87" s="23">
        <f>Sculpting_Schedule!J87</f>
        <v>0</v>
      </c>
    </row>
    <row r="88" spans="1:12" ht="15" customHeight="1" x14ac:dyDescent="0.25">
      <c r="A88" s="13">
        <v>82</v>
      </c>
      <c r="B88" s="13">
        <f t="shared" si="6"/>
        <v>21</v>
      </c>
      <c r="C88" s="13" t="str">
        <f>IF(A88&gt;Assumptions!$B$14,"Closed",IF(A88&lt;=Assumptions!$B$12,"Moratorium","Repayment"))</f>
        <v>Closed</v>
      </c>
      <c r="D88" s="14">
        <f>Sculpting_Schedule!D88</f>
        <v>0</v>
      </c>
      <c r="E88" s="13">
        <f>MIN(10,ROUNDUP(A88/MAX(1,Assumptions!$B$64),0))</f>
        <v>7</v>
      </c>
      <c r="F88" s="20">
        <f>INDEX(Assumptions!$C$66:$C$75,E88)</f>
        <v>8.6499999999999994E-2</v>
      </c>
      <c r="G88" s="14">
        <f t="shared" si="7"/>
        <v>0</v>
      </c>
      <c r="H88" s="14">
        <f>Sculpting_Schedule!I88</f>
        <v>0</v>
      </c>
      <c r="I88" s="14">
        <f t="shared" si="8"/>
        <v>0</v>
      </c>
      <c r="J88" s="15" t="str">
        <f>IF(OR(A88&gt;Assumptions!$B$14,I88=0),"",Sculpting_Schedule!F88/I88)</f>
        <v/>
      </c>
      <c r="K88" s="13" t="str">
        <f>IF(A88&gt;Assumptions!$B$14,"Closed",IF(A88&lt;=Assumptions!$B$12,"Moratorium",IF(D88=0,"Closed (Repaid Early)",IF(J88&lt;Assumptions!$B$11-0.005,"BREACH - rate reset risk","OK"))))</f>
        <v>Closed</v>
      </c>
      <c r="L88" s="23">
        <f>Sculpting_Schedule!J88</f>
        <v>0</v>
      </c>
    </row>
    <row r="89" spans="1:12" ht="15" customHeight="1" x14ac:dyDescent="0.25">
      <c r="A89" s="10">
        <v>83</v>
      </c>
      <c r="B89" s="10">
        <f t="shared" si="6"/>
        <v>21</v>
      </c>
      <c r="C89" s="10" t="str">
        <f>IF(A89&gt;Assumptions!$B$14,"Closed",IF(A89&lt;=Assumptions!$B$12,"Moratorium","Repayment"))</f>
        <v>Closed</v>
      </c>
      <c r="D89" s="11">
        <f>Sculpting_Schedule!D89</f>
        <v>0</v>
      </c>
      <c r="E89" s="10">
        <f>MIN(10,ROUNDUP(A89/MAX(1,Assumptions!$B$64),0))</f>
        <v>7</v>
      </c>
      <c r="F89" s="19">
        <f>INDEX(Assumptions!$C$66:$C$75,E89)</f>
        <v>8.6499999999999994E-2</v>
      </c>
      <c r="G89" s="11">
        <f t="shared" si="7"/>
        <v>0</v>
      </c>
      <c r="H89" s="11">
        <f>Sculpting_Schedule!I89</f>
        <v>0</v>
      </c>
      <c r="I89" s="11">
        <f t="shared" si="8"/>
        <v>0</v>
      </c>
      <c r="J89" s="12" t="str">
        <f>IF(OR(A89&gt;Assumptions!$B$14,I89=0),"",Sculpting_Schedule!F89/I89)</f>
        <v/>
      </c>
      <c r="K89" s="10" t="str">
        <f>IF(A89&gt;Assumptions!$B$14,"Closed",IF(A89&lt;=Assumptions!$B$12,"Moratorium",IF(D89=0,"Closed (Repaid Early)",IF(J89&lt;Assumptions!$B$11-0.005,"BREACH - rate reset risk","OK"))))</f>
        <v>Closed</v>
      </c>
      <c r="L89" s="23">
        <f>Sculpting_Schedule!J89</f>
        <v>0</v>
      </c>
    </row>
    <row r="90" spans="1:12" ht="15" customHeight="1" x14ac:dyDescent="0.25">
      <c r="A90" s="13">
        <v>84</v>
      </c>
      <c r="B90" s="13">
        <f t="shared" si="6"/>
        <v>21</v>
      </c>
      <c r="C90" s="13" t="str">
        <f>IF(A90&gt;Assumptions!$B$14,"Closed",IF(A90&lt;=Assumptions!$B$12,"Moratorium","Repayment"))</f>
        <v>Closed</v>
      </c>
      <c r="D90" s="14">
        <f>Sculpting_Schedule!D90</f>
        <v>0</v>
      </c>
      <c r="E90" s="13">
        <f>MIN(10,ROUNDUP(A90/MAX(1,Assumptions!$B$64),0))</f>
        <v>7</v>
      </c>
      <c r="F90" s="20">
        <f>INDEX(Assumptions!$C$66:$C$75,E90)</f>
        <v>8.6499999999999994E-2</v>
      </c>
      <c r="G90" s="14">
        <f t="shared" si="7"/>
        <v>0</v>
      </c>
      <c r="H90" s="14">
        <f>Sculpting_Schedule!I90</f>
        <v>0</v>
      </c>
      <c r="I90" s="14">
        <f t="shared" si="8"/>
        <v>0</v>
      </c>
      <c r="J90" s="15" t="str">
        <f>IF(OR(A90&gt;Assumptions!$B$14,I90=0),"",Sculpting_Schedule!F90/I90)</f>
        <v/>
      </c>
      <c r="K90" s="13" t="str">
        <f>IF(A90&gt;Assumptions!$B$14,"Closed",IF(A90&lt;=Assumptions!$B$12,"Moratorium",IF(D90=0,"Closed (Repaid Early)",IF(J90&lt;Assumptions!$B$11-0.005,"BREACH - rate reset risk","OK"))))</f>
        <v>Closed</v>
      </c>
      <c r="L90" s="23">
        <f>Sculpting_Schedule!J90</f>
        <v>0</v>
      </c>
    </row>
    <row r="91" spans="1:12" ht="15" customHeight="1" x14ac:dyDescent="0.25">
      <c r="A91" s="10">
        <v>85</v>
      </c>
      <c r="B91" s="10">
        <f t="shared" si="6"/>
        <v>22</v>
      </c>
      <c r="C91" s="10" t="str">
        <f>IF(A91&gt;Assumptions!$B$14,"Closed",IF(A91&lt;=Assumptions!$B$12,"Moratorium","Repayment"))</f>
        <v>Closed</v>
      </c>
      <c r="D91" s="11">
        <f>Sculpting_Schedule!D91</f>
        <v>0</v>
      </c>
      <c r="E91" s="10">
        <f>MIN(10,ROUNDUP(A91/MAX(1,Assumptions!$B$64),0))</f>
        <v>8</v>
      </c>
      <c r="F91" s="19">
        <f>INDEX(Assumptions!$C$66:$C$75,E91)</f>
        <v>8.6499999999999994E-2</v>
      </c>
      <c r="G91" s="11">
        <f t="shared" si="7"/>
        <v>0</v>
      </c>
      <c r="H91" s="11">
        <f>Sculpting_Schedule!I91</f>
        <v>0</v>
      </c>
      <c r="I91" s="11">
        <f t="shared" si="8"/>
        <v>0</v>
      </c>
      <c r="J91" s="12" t="str">
        <f>IF(OR(A91&gt;Assumptions!$B$14,I91=0),"",Sculpting_Schedule!F91/I91)</f>
        <v/>
      </c>
      <c r="K91" s="10" t="str">
        <f>IF(A91&gt;Assumptions!$B$14,"Closed",IF(A91&lt;=Assumptions!$B$12,"Moratorium",IF(D91=0,"Closed (Repaid Early)",IF(J91&lt;Assumptions!$B$11-0.005,"BREACH - rate reset risk","OK"))))</f>
        <v>Closed</v>
      </c>
      <c r="L91" s="23">
        <f>Sculpting_Schedule!J91</f>
        <v>0</v>
      </c>
    </row>
    <row r="92" spans="1:12" ht="15" customHeight="1" x14ac:dyDescent="0.25">
      <c r="A92" s="13">
        <v>86</v>
      </c>
      <c r="B92" s="13">
        <f t="shared" si="6"/>
        <v>22</v>
      </c>
      <c r="C92" s="13" t="str">
        <f>IF(A92&gt;Assumptions!$B$14,"Closed",IF(A92&lt;=Assumptions!$B$12,"Moratorium","Repayment"))</f>
        <v>Closed</v>
      </c>
      <c r="D92" s="14">
        <f>Sculpting_Schedule!D92</f>
        <v>0</v>
      </c>
      <c r="E92" s="13">
        <f>MIN(10,ROUNDUP(A92/MAX(1,Assumptions!$B$64),0))</f>
        <v>8</v>
      </c>
      <c r="F92" s="20">
        <f>INDEX(Assumptions!$C$66:$C$75,E92)</f>
        <v>8.6499999999999994E-2</v>
      </c>
      <c r="G92" s="14">
        <f t="shared" si="7"/>
        <v>0</v>
      </c>
      <c r="H92" s="14">
        <f>Sculpting_Schedule!I92</f>
        <v>0</v>
      </c>
      <c r="I92" s="14">
        <f t="shared" si="8"/>
        <v>0</v>
      </c>
      <c r="J92" s="15" t="str">
        <f>IF(OR(A92&gt;Assumptions!$B$14,I92=0),"",Sculpting_Schedule!F92/I92)</f>
        <v/>
      </c>
      <c r="K92" s="13" t="str">
        <f>IF(A92&gt;Assumptions!$B$14,"Closed",IF(A92&lt;=Assumptions!$B$12,"Moratorium",IF(D92=0,"Closed (Repaid Early)",IF(J92&lt;Assumptions!$B$11-0.005,"BREACH - rate reset risk","OK"))))</f>
        <v>Closed</v>
      </c>
      <c r="L92" s="23">
        <f>Sculpting_Schedule!J92</f>
        <v>0</v>
      </c>
    </row>
    <row r="93" spans="1:12" ht="15" customHeight="1" x14ac:dyDescent="0.25">
      <c r="A93" s="10">
        <v>87</v>
      </c>
      <c r="B93" s="10">
        <f t="shared" si="6"/>
        <v>22</v>
      </c>
      <c r="C93" s="10" t="str">
        <f>IF(A93&gt;Assumptions!$B$14,"Closed",IF(A93&lt;=Assumptions!$B$12,"Moratorium","Repayment"))</f>
        <v>Closed</v>
      </c>
      <c r="D93" s="11">
        <f>Sculpting_Schedule!D93</f>
        <v>0</v>
      </c>
      <c r="E93" s="10">
        <f>MIN(10,ROUNDUP(A93/MAX(1,Assumptions!$B$64),0))</f>
        <v>8</v>
      </c>
      <c r="F93" s="19">
        <f>INDEX(Assumptions!$C$66:$C$75,E93)</f>
        <v>8.6499999999999994E-2</v>
      </c>
      <c r="G93" s="11">
        <f t="shared" si="7"/>
        <v>0</v>
      </c>
      <c r="H93" s="11">
        <f>Sculpting_Schedule!I93</f>
        <v>0</v>
      </c>
      <c r="I93" s="11">
        <f t="shared" si="8"/>
        <v>0</v>
      </c>
      <c r="J93" s="12" t="str">
        <f>IF(OR(A93&gt;Assumptions!$B$14,I93=0),"",Sculpting_Schedule!F93/I93)</f>
        <v/>
      </c>
      <c r="K93" s="10" t="str">
        <f>IF(A93&gt;Assumptions!$B$14,"Closed",IF(A93&lt;=Assumptions!$B$12,"Moratorium",IF(D93=0,"Closed (Repaid Early)",IF(J93&lt;Assumptions!$B$11-0.005,"BREACH - rate reset risk","OK"))))</f>
        <v>Closed</v>
      </c>
      <c r="L93" s="23">
        <f>Sculpting_Schedule!J93</f>
        <v>0</v>
      </c>
    </row>
    <row r="94" spans="1:12" ht="15" customHeight="1" x14ac:dyDescent="0.25">
      <c r="A94" s="13">
        <v>88</v>
      </c>
      <c r="B94" s="13">
        <f t="shared" si="6"/>
        <v>22</v>
      </c>
      <c r="C94" s="13" t="str">
        <f>IF(A94&gt;Assumptions!$B$14,"Closed",IF(A94&lt;=Assumptions!$B$12,"Moratorium","Repayment"))</f>
        <v>Closed</v>
      </c>
      <c r="D94" s="14">
        <f>Sculpting_Schedule!D94</f>
        <v>0</v>
      </c>
      <c r="E94" s="13">
        <f>MIN(10,ROUNDUP(A94/MAX(1,Assumptions!$B$64),0))</f>
        <v>8</v>
      </c>
      <c r="F94" s="20">
        <f>INDEX(Assumptions!$C$66:$C$75,E94)</f>
        <v>8.6499999999999994E-2</v>
      </c>
      <c r="G94" s="14">
        <f t="shared" si="7"/>
        <v>0</v>
      </c>
      <c r="H94" s="14">
        <f>Sculpting_Schedule!I94</f>
        <v>0</v>
      </c>
      <c r="I94" s="14">
        <f t="shared" si="8"/>
        <v>0</v>
      </c>
      <c r="J94" s="15" t="str">
        <f>IF(OR(A94&gt;Assumptions!$B$14,I94=0),"",Sculpting_Schedule!F94/I94)</f>
        <v/>
      </c>
      <c r="K94" s="13" t="str">
        <f>IF(A94&gt;Assumptions!$B$14,"Closed",IF(A94&lt;=Assumptions!$B$12,"Moratorium",IF(D94=0,"Closed (Repaid Early)",IF(J94&lt;Assumptions!$B$11-0.005,"BREACH - rate reset risk","OK"))))</f>
        <v>Closed</v>
      </c>
      <c r="L94" s="23">
        <f>Sculpting_Schedule!J94</f>
        <v>0</v>
      </c>
    </row>
    <row r="95" spans="1:12" ht="15" customHeight="1" x14ac:dyDescent="0.25">
      <c r="A95" s="10">
        <v>89</v>
      </c>
      <c r="B95" s="10">
        <f t="shared" si="6"/>
        <v>23</v>
      </c>
      <c r="C95" s="10" t="str">
        <f>IF(A95&gt;Assumptions!$B$14,"Closed",IF(A95&lt;=Assumptions!$B$12,"Moratorium","Repayment"))</f>
        <v>Closed</v>
      </c>
      <c r="D95" s="11">
        <f>Sculpting_Schedule!D95</f>
        <v>0</v>
      </c>
      <c r="E95" s="10">
        <f>MIN(10,ROUNDUP(A95/MAX(1,Assumptions!$B$64),0))</f>
        <v>8</v>
      </c>
      <c r="F95" s="19">
        <f>INDEX(Assumptions!$C$66:$C$75,E95)</f>
        <v>8.6499999999999994E-2</v>
      </c>
      <c r="G95" s="11">
        <f t="shared" si="7"/>
        <v>0</v>
      </c>
      <c r="H95" s="11">
        <f>Sculpting_Schedule!I95</f>
        <v>0</v>
      </c>
      <c r="I95" s="11">
        <f t="shared" si="8"/>
        <v>0</v>
      </c>
      <c r="J95" s="12" t="str">
        <f>IF(OR(A95&gt;Assumptions!$B$14,I95=0),"",Sculpting_Schedule!F95/I95)</f>
        <v/>
      </c>
      <c r="K95" s="10" t="str">
        <f>IF(A95&gt;Assumptions!$B$14,"Closed",IF(A95&lt;=Assumptions!$B$12,"Moratorium",IF(D95=0,"Closed (Repaid Early)",IF(J95&lt;Assumptions!$B$11-0.005,"BREACH - rate reset risk","OK"))))</f>
        <v>Closed</v>
      </c>
      <c r="L95" s="23">
        <f>Sculpting_Schedule!J95</f>
        <v>0</v>
      </c>
    </row>
    <row r="96" spans="1:12" ht="15" customHeight="1" x14ac:dyDescent="0.25">
      <c r="A96" s="13">
        <v>90</v>
      </c>
      <c r="B96" s="13">
        <f t="shared" si="6"/>
        <v>23</v>
      </c>
      <c r="C96" s="13" t="str">
        <f>IF(A96&gt;Assumptions!$B$14,"Closed",IF(A96&lt;=Assumptions!$B$12,"Moratorium","Repayment"))</f>
        <v>Closed</v>
      </c>
      <c r="D96" s="14">
        <f>Sculpting_Schedule!D96</f>
        <v>0</v>
      </c>
      <c r="E96" s="13">
        <f>MIN(10,ROUNDUP(A96/MAX(1,Assumptions!$B$64),0))</f>
        <v>8</v>
      </c>
      <c r="F96" s="20">
        <f>INDEX(Assumptions!$C$66:$C$75,E96)</f>
        <v>8.6499999999999994E-2</v>
      </c>
      <c r="G96" s="14">
        <f t="shared" si="7"/>
        <v>0</v>
      </c>
      <c r="H96" s="14">
        <f>Sculpting_Schedule!I96</f>
        <v>0</v>
      </c>
      <c r="I96" s="14">
        <f t="shared" si="8"/>
        <v>0</v>
      </c>
      <c r="J96" s="15" t="str">
        <f>IF(OR(A96&gt;Assumptions!$B$14,I96=0),"",Sculpting_Schedule!F96/I96)</f>
        <v/>
      </c>
      <c r="K96" s="13" t="str">
        <f>IF(A96&gt;Assumptions!$B$14,"Closed",IF(A96&lt;=Assumptions!$B$12,"Moratorium",IF(D96=0,"Closed (Repaid Early)",IF(J96&lt;Assumptions!$B$11-0.005,"BREACH - rate reset risk","OK"))))</f>
        <v>Closed</v>
      </c>
      <c r="L96" s="23">
        <f>Sculpting_Schedule!J96</f>
        <v>0</v>
      </c>
    </row>
    <row r="97" spans="1:12" ht="15" customHeight="1" x14ac:dyDescent="0.25">
      <c r="A97" s="10">
        <v>91</v>
      </c>
      <c r="B97" s="10">
        <f t="shared" si="6"/>
        <v>23</v>
      </c>
      <c r="C97" s="10" t="str">
        <f>IF(A97&gt;Assumptions!$B$14,"Closed",IF(A97&lt;=Assumptions!$B$12,"Moratorium","Repayment"))</f>
        <v>Closed</v>
      </c>
      <c r="D97" s="11">
        <f>Sculpting_Schedule!D97</f>
        <v>0</v>
      </c>
      <c r="E97" s="10">
        <f>MIN(10,ROUNDUP(A97/MAX(1,Assumptions!$B$64),0))</f>
        <v>8</v>
      </c>
      <c r="F97" s="19">
        <f>INDEX(Assumptions!$C$66:$C$75,E97)</f>
        <v>8.6499999999999994E-2</v>
      </c>
      <c r="G97" s="11">
        <f t="shared" si="7"/>
        <v>0</v>
      </c>
      <c r="H97" s="11">
        <f>Sculpting_Schedule!I97</f>
        <v>0</v>
      </c>
      <c r="I97" s="11">
        <f t="shared" si="8"/>
        <v>0</v>
      </c>
      <c r="J97" s="12" t="str">
        <f>IF(OR(A97&gt;Assumptions!$B$14,I97=0),"",Sculpting_Schedule!F97/I97)</f>
        <v/>
      </c>
      <c r="K97" s="10" t="str">
        <f>IF(A97&gt;Assumptions!$B$14,"Closed",IF(A97&lt;=Assumptions!$B$12,"Moratorium",IF(D97=0,"Closed (Repaid Early)",IF(J97&lt;Assumptions!$B$11-0.005,"BREACH - rate reset risk","OK"))))</f>
        <v>Closed</v>
      </c>
      <c r="L97" s="23">
        <f>Sculpting_Schedule!J97</f>
        <v>0</v>
      </c>
    </row>
    <row r="98" spans="1:12" ht="15" customHeight="1" x14ac:dyDescent="0.25">
      <c r="A98" s="13">
        <v>92</v>
      </c>
      <c r="B98" s="13">
        <f t="shared" si="6"/>
        <v>23</v>
      </c>
      <c r="C98" s="13" t="str">
        <f>IF(A98&gt;Assumptions!$B$14,"Closed",IF(A98&lt;=Assumptions!$B$12,"Moratorium","Repayment"))</f>
        <v>Closed</v>
      </c>
      <c r="D98" s="14">
        <f>Sculpting_Schedule!D98</f>
        <v>0</v>
      </c>
      <c r="E98" s="13">
        <f>MIN(10,ROUNDUP(A98/MAX(1,Assumptions!$B$64),0))</f>
        <v>8</v>
      </c>
      <c r="F98" s="20">
        <f>INDEX(Assumptions!$C$66:$C$75,E98)</f>
        <v>8.6499999999999994E-2</v>
      </c>
      <c r="G98" s="14">
        <f t="shared" si="7"/>
        <v>0</v>
      </c>
      <c r="H98" s="14">
        <f>Sculpting_Schedule!I98</f>
        <v>0</v>
      </c>
      <c r="I98" s="14">
        <f t="shared" si="8"/>
        <v>0</v>
      </c>
      <c r="J98" s="15" t="str">
        <f>IF(OR(A98&gt;Assumptions!$B$14,I98=0),"",Sculpting_Schedule!F98/I98)</f>
        <v/>
      </c>
      <c r="K98" s="13" t="str">
        <f>IF(A98&gt;Assumptions!$B$14,"Closed",IF(A98&lt;=Assumptions!$B$12,"Moratorium",IF(D98=0,"Closed (Repaid Early)",IF(J98&lt;Assumptions!$B$11-0.005,"BREACH - rate reset risk","OK"))))</f>
        <v>Closed</v>
      </c>
      <c r="L98" s="23">
        <f>Sculpting_Schedule!J98</f>
        <v>0</v>
      </c>
    </row>
    <row r="99" spans="1:12" ht="15" customHeight="1" x14ac:dyDescent="0.25">
      <c r="A99" s="10">
        <v>93</v>
      </c>
      <c r="B99" s="10">
        <f t="shared" si="6"/>
        <v>24</v>
      </c>
      <c r="C99" s="10" t="str">
        <f>IF(A99&gt;Assumptions!$B$14,"Closed",IF(A99&lt;=Assumptions!$B$12,"Moratorium","Repayment"))</f>
        <v>Closed</v>
      </c>
      <c r="D99" s="11">
        <f>Sculpting_Schedule!D99</f>
        <v>0</v>
      </c>
      <c r="E99" s="10">
        <f>MIN(10,ROUNDUP(A99/MAX(1,Assumptions!$B$64),0))</f>
        <v>8</v>
      </c>
      <c r="F99" s="19">
        <f>INDEX(Assumptions!$C$66:$C$75,E99)</f>
        <v>8.6499999999999994E-2</v>
      </c>
      <c r="G99" s="11">
        <f t="shared" si="7"/>
        <v>0</v>
      </c>
      <c r="H99" s="11">
        <f>Sculpting_Schedule!I99</f>
        <v>0</v>
      </c>
      <c r="I99" s="11">
        <f t="shared" si="8"/>
        <v>0</v>
      </c>
      <c r="J99" s="12" t="str">
        <f>IF(OR(A99&gt;Assumptions!$B$14,I99=0),"",Sculpting_Schedule!F99/I99)</f>
        <v/>
      </c>
      <c r="K99" s="10" t="str">
        <f>IF(A99&gt;Assumptions!$B$14,"Closed",IF(A99&lt;=Assumptions!$B$12,"Moratorium",IF(D99=0,"Closed (Repaid Early)",IF(J99&lt;Assumptions!$B$11-0.005,"BREACH - rate reset risk","OK"))))</f>
        <v>Closed</v>
      </c>
      <c r="L99" s="23">
        <f>Sculpting_Schedule!J99</f>
        <v>0</v>
      </c>
    </row>
    <row r="100" spans="1:12" ht="15" customHeight="1" x14ac:dyDescent="0.25">
      <c r="A100" s="13">
        <v>94</v>
      </c>
      <c r="B100" s="13">
        <f t="shared" si="6"/>
        <v>24</v>
      </c>
      <c r="C100" s="13" t="str">
        <f>IF(A100&gt;Assumptions!$B$14,"Closed",IF(A100&lt;=Assumptions!$B$12,"Moratorium","Repayment"))</f>
        <v>Closed</v>
      </c>
      <c r="D100" s="14">
        <f>Sculpting_Schedule!D100</f>
        <v>0</v>
      </c>
      <c r="E100" s="13">
        <f>MIN(10,ROUNDUP(A100/MAX(1,Assumptions!$B$64),0))</f>
        <v>8</v>
      </c>
      <c r="F100" s="20">
        <f>INDEX(Assumptions!$C$66:$C$75,E100)</f>
        <v>8.6499999999999994E-2</v>
      </c>
      <c r="G100" s="14">
        <f t="shared" si="7"/>
        <v>0</v>
      </c>
      <c r="H100" s="14">
        <f>Sculpting_Schedule!I100</f>
        <v>0</v>
      </c>
      <c r="I100" s="14">
        <f t="shared" si="8"/>
        <v>0</v>
      </c>
      <c r="J100" s="15" t="str">
        <f>IF(OR(A100&gt;Assumptions!$B$14,I100=0),"",Sculpting_Schedule!F100/I100)</f>
        <v/>
      </c>
      <c r="K100" s="13" t="str">
        <f>IF(A100&gt;Assumptions!$B$14,"Closed",IF(A100&lt;=Assumptions!$B$12,"Moratorium",IF(D100=0,"Closed (Repaid Early)",IF(J100&lt;Assumptions!$B$11-0.005,"BREACH - rate reset risk","OK"))))</f>
        <v>Closed</v>
      </c>
      <c r="L100" s="23">
        <f>Sculpting_Schedule!J100</f>
        <v>0</v>
      </c>
    </row>
    <row r="101" spans="1:12" ht="15" customHeight="1" x14ac:dyDescent="0.25">
      <c r="A101" s="10">
        <v>95</v>
      </c>
      <c r="B101" s="10">
        <f t="shared" si="6"/>
        <v>24</v>
      </c>
      <c r="C101" s="10" t="str">
        <f>IF(A101&gt;Assumptions!$B$14,"Closed",IF(A101&lt;=Assumptions!$B$12,"Moratorium","Repayment"))</f>
        <v>Closed</v>
      </c>
      <c r="D101" s="11">
        <f>Sculpting_Schedule!D101</f>
        <v>0</v>
      </c>
      <c r="E101" s="10">
        <f>MIN(10,ROUNDUP(A101/MAX(1,Assumptions!$B$64),0))</f>
        <v>8</v>
      </c>
      <c r="F101" s="19">
        <f>INDEX(Assumptions!$C$66:$C$75,E101)</f>
        <v>8.6499999999999994E-2</v>
      </c>
      <c r="G101" s="11">
        <f t="shared" si="7"/>
        <v>0</v>
      </c>
      <c r="H101" s="11">
        <f>Sculpting_Schedule!I101</f>
        <v>0</v>
      </c>
      <c r="I101" s="11">
        <f t="shared" si="8"/>
        <v>0</v>
      </c>
      <c r="J101" s="12" t="str">
        <f>IF(OR(A101&gt;Assumptions!$B$14,I101=0),"",Sculpting_Schedule!F101/I101)</f>
        <v/>
      </c>
      <c r="K101" s="10" t="str">
        <f>IF(A101&gt;Assumptions!$B$14,"Closed",IF(A101&lt;=Assumptions!$B$12,"Moratorium",IF(D101=0,"Closed (Repaid Early)",IF(J101&lt;Assumptions!$B$11-0.005,"BREACH - rate reset risk","OK"))))</f>
        <v>Closed</v>
      </c>
      <c r="L101" s="23">
        <f>Sculpting_Schedule!J101</f>
        <v>0</v>
      </c>
    </row>
    <row r="102" spans="1:12" ht="15" customHeight="1" x14ac:dyDescent="0.25">
      <c r="A102" s="13">
        <v>96</v>
      </c>
      <c r="B102" s="13">
        <f t="shared" si="6"/>
        <v>24</v>
      </c>
      <c r="C102" s="13" t="str">
        <f>IF(A102&gt;Assumptions!$B$14,"Closed",IF(A102&lt;=Assumptions!$B$12,"Moratorium","Repayment"))</f>
        <v>Closed</v>
      </c>
      <c r="D102" s="14">
        <f>Sculpting_Schedule!D102</f>
        <v>0</v>
      </c>
      <c r="E102" s="13">
        <f>MIN(10,ROUNDUP(A102/MAX(1,Assumptions!$B$64),0))</f>
        <v>8</v>
      </c>
      <c r="F102" s="20">
        <f>INDEX(Assumptions!$C$66:$C$75,E102)</f>
        <v>8.6499999999999994E-2</v>
      </c>
      <c r="G102" s="14">
        <f t="shared" si="7"/>
        <v>0</v>
      </c>
      <c r="H102" s="14">
        <f>Sculpting_Schedule!I102</f>
        <v>0</v>
      </c>
      <c r="I102" s="14">
        <f t="shared" si="8"/>
        <v>0</v>
      </c>
      <c r="J102" s="15" t="str">
        <f>IF(OR(A102&gt;Assumptions!$B$14,I102=0),"",Sculpting_Schedule!F102/I102)</f>
        <v/>
      </c>
      <c r="K102" s="13" t="str">
        <f>IF(A102&gt;Assumptions!$B$14,"Closed",IF(A102&lt;=Assumptions!$B$12,"Moratorium",IF(D102=0,"Closed (Repaid Early)",IF(J102&lt;Assumptions!$B$11-0.005,"BREACH - rate reset risk","OK"))))</f>
        <v>Closed</v>
      </c>
      <c r="L102" s="23">
        <f>Sculpting_Schedule!J102</f>
        <v>0</v>
      </c>
    </row>
    <row r="103" spans="1:12" ht="15" customHeight="1" x14ac:dyDescent="0.25">
      <c r="A103" s="10">
        <v>97</v>
      </c>
      <c r="B103" s="10">
        <f t="shared" ref="B103:B106" si="9">ROUNDUP(A103/4,0)</f>
        <v>25</v>
      </c>
      <c r="C103" s="10" t="str">
        <f>IF(A103&gt;Assumptions!$B$14,"Closed",IF(A103&lt;=Assumptions!$B$12,"Moratorium","Repayment"))</f>
        <v>Closed</v>
      </c>
      <c r="D103" s="11">
        <f>Sculpting_Schedule!D103</f>
        <v>0</v>
      </c>
      <c r="E103" s="10">
        <f>MIN(10,ROUNDUP(A103/MAX(1,Assumptions!$B$64),0))</f>
        <v>9</v>
      </c>
      <c r="F103" s="19">
        <f>INDEX(Assumptions!$C$66:$C$75,E103)</f>
        <v>8.6499999999999994E-2</v>
      </c>
      <c r="G103" s="11">
        <f t="shared" ref="G103:G106" si="10">D103*F103/4</f>
        <v>0</v>
      </c>
      <c r="H103" s="11">
        <f>Sculpting_Schedule!I103</f>
        <v>0</v>
      </c>
      <c r="I103" s="11">
        <f t="shared" ref="I103:I106" si="11">G103+H103</f>
        <v>0</v>
      </c>
      <c r="J103" s="12" t="str">
        <f>IF(OR(A103&gt;Assumptions!$B$14,I103=0),"",Sculpting_Schedule!F103/I103)</f>
        <v/>
      </c>
      <c r="K103" s="10" t="str">
        <f>IF(A103&gt;Assumptions!$B$14,"Closed",IF(A103&lt;=Assumptions!$B$12,"Moratorium",IF(D103=0,"Closed (Repaid Early)",IF(J103&lt;Assumptions!$B$11-0.005,"BREACH - rate reset risk","OK"))))</f>
        <v>Closed</v>
      </c>
      <c r="L103" s="23">
        <f>Sculpting_Schedule!J103</f>
        <v>0</v>
      </c>
    </row>
    <row r="104" spans="1:12" ht="15" customHeight="1" x14ac:dyDescent="0.25">
      <c r="A104" s="13">
        <v>98</v>
      </c>
      <c r="B104" s="13">
        <f t="shared" si="9"/>
        <v>25</v>
      </c>
      <c r="C104" s="13" t="str">
        <f>IF(A104&gt;Assumptions!$B$14,"Closed",IF(A104&lt;=Assumptions!$B$12,"Moratorium","Repayment"))</f>
        <v>Closed</v>
      </c>
      <c r="D104" s="14">
        <f>Sculpting_Schedule!D104</f>
        <v>0</v>
      </c>
      <c r="E104" s="13">
        <f>MIN(10,ROUNDUP(A104/MAX(1,Assumptions!$B$64),0))</f>
        <v>9</v>
      </c>
      <c r="F104" s="20">
        <f>INDEX(Assumptions!$C$66:$C$75,E104)</f>
        <v>8.6499999999999994E-2</v>
      </c>
      <c r="G104" s="14">
        <f t="shared" si="10"/>
        <v>0</v>
      </c>
      <c r="H104" s="14">
        <f>Sculpting_Schedule!I104</f>
        <v>0</v>
      </c>
      <c r="I104" s="14">
        <f t="shared" si="11"/>
        <v>0</v>
      </c>
      <c r="J104" s="15" t="str">
        <f>IF(OR(A104&gt;Assumptions!$B$14,I104=0),"",Sculpting_Schedule!F104/I104)</f>
        <v/>
      </c>
      <c r="K104" s="13" t="str">
        <f>IF(A104&gt;Assumptions!$B$14,"Closed",IF(A104&lt;=Assumptions!$B$12,"Moratorium",IF(D104=0,"Closed (Repaid Early)",IF(J104&lt;Assumptions!$B$11-0.005,"BREACH - rate reset risk","OK"))))</f>
        <v>Closed</v>
      </c>
      <c r="L104" s="23">
        <f>Sculpting_Schedule!J104</f>
        <v>0</v>
      </c>
    </row>
    <row r="105" spans="1:12" ht="15" customHeight="1" x14ac:dyDescent="0.25">
      <c r="A105" s="10">
        <v>99</v>
      </c>
      <c r="B105" s="10">
        <f t="shared" si="9"/>
        <v>25</v>
      </c>
      <c r="C105" s="10" t="str">
        <f>IF(A105&gt;Assumptions!$B$14,"Closed",IF(A105&lt;=Assumptions!$B$12,"Moratorium","Repayment"))</f>
        <v>Closed</v>
      </c>
      <c r="D105" s="11">
        <f>Sculpting_Schedule!D105</f>
        <v>0</v>
      </c>
      <c r="E105" s="10">
        <f>MIN(10,ROUNDUP(A105/MAX(1,Assumptions!$B$64),0))</f>
        <v>9</v>
      </c>
      <c r="F105" s="19">
        <f>INDEX(Assumptions!$C$66:$C$75,E105)</f>
        <v>8.6499999999999994E-2</v>
      </c>
      <c r="G105" s="11">
        <f t="shared" si="10"/>
        <v>0</v>
      </c>
      <c r="H105" s="11">
        <f>Sculpting_Schedule!I105</f>
        <v>0</v>
      </c>
      <c r="I105" s="11">
        <f t="shared" si="11"/>
        <v>0</v>
      </c>
      <c r="J105" s="12" t="str">
        <f>IF(OR(A105&gt;Assumptions!$B$14,I105=0),"",Sculpting_Schedule!F105/I105)</f>
        <v/>
      </c>
      <c r="K105" s="10" t="str">
        <f>IF(A105&gt;Assumptions!$B$14,"Closed",IF(A105&lt;=Assumptions!$B$12,"Moratorium",IF(D105=0,"Closed (Repaid Early)",IF(J105&lt;Assumptions!$B$11-0.005,"BREACH - rate reset risk","OK"))))</f>
        <v>Closed</v>
      </c>
      <c r="L105" s="23">
        <f>Sculpting_Schedule!J105</f>
        <v>0</v>
      </c>
    </row>
    <row r="106" spans="1:12" ht="15" customHeight="1" x14ac:dyDescent="0.25">
      <c r="A106" s="13">
        <v>100</v>
      </c>
      <c r="B106" s="13">
        <f t="shared" si="9"/>
        <v>25</v>
      </c>
      <c r="C106" s="13" t="str">
        <f>IF(A106&gt;Assumptions!$B$14,"Closed",IF(A106&lt;=Assumptions!$B$12,"Moratorium","Repayment"))</f>
        <v>Closed</v>
      </c>
      <c r="D106" s="14">
        <f>Sculpting_Schedule!D106</f>
        <v>0</v>
      </c>
      <c r="E106" s="13">
        <f>MIN(10,ROUNDUP(A106/MAX(1,Assumptions!$B$64),0))</f>
        <v>9</v>
      </c>
      <c r="F106" s="20">
        <f>INDEX(Assumptions!$C$66:$C$75,E106)</f>
        <v>8.6499999999999994E-2</v>
      </c>
      <c r="G106" s="14">
        <f t="shared" si="10"/>
        <v>0</v>
      </c>
      <c r="H106" s="14">
        <f>Sculpting_Schedule!I106</f>
        <v>0</v>
      </c>
      <c r="I106" s="14">
        <f t="shared" si="11"/>
        <v>0</v>
      </c>
      <c r="J106" s="15" t="str">
        <f>IF(OR(A106&gt;Assumptions!$B$14,I106=0),"",Sculpting_Schedule!F106/I106)</f>
        <v/>
      </c>
      <c r="K106" s="13" t="str">
        <f>IF(A106&gt;Assumptions!$B$14,"Closed",IF(A106&lt;=Assumptions!$B$12,"Moratorium",IF(D106=0,"Closed (Repaid Early)",IF(J106&lt;Assumptions!$B$11-0.005,"BREACH - rate reset risk","OK"))))</f>
        <v>Closed</v>
      </c>
      <c r="L106" s="23">
        <f>Sculpting_Schedule!J106</f>
        <v>0</v>
      </c>
    </row>
    <row r="107" spans="1:12" ht="15" customHeight="1" x14ac:dyDescent="0.25">
      <c r="A107" s="16" t="s">
        <v>102</v>
      </c>
      <c r="B107" s="16"/>
      <c r="C107" s="16"/>
      <c r="D107" s="16"/>
      <c r="E107" s="16"/>
      <c r="F107" s="16"/>
      <c r="G107" s="17">
        <f>SUM(G7:G106)</f>
        <v>195.65118158362168</v>
      </c>
      <c r="H107" s="17">
        <f>SUM(H7:H106)</f>
        <v>281.76</v>
      </c>
      <c r="I107" s="17">
        <f>SUM(I7:I106)</f>
        <v>477.41118158362167</v>
      </c>
      <c r="J107" s="16"/>
      <c r="K107" s="16"/>
    </row>
    <row r="109" spans="1:12" ht="43.5" customHeight="1" x14ac:dyDescent="0.25">
      <c r="A109" s="87" t="s">
        <v>122</v>
      </c>
      <c r="B109" s="87"/>
      <c r="C109" s="87"/>
      <c r="D109" s="87"/>
      <c r="E109" s="87"/>
      <c r="F109" s="87"/>
      <c r="G109" s="87"/>
      <c r="H109" s="87"/>
      <c r="I109" s="87"/>
      <c r="J109" s="87"/>
      <c r="K109" s="87"/>
    </row>
  </sheetData>
  <mergeCells count="4">
    <mergeCell ref="A2:K2"/>
    <mergeCell ref="A3:K3"/>
    <mergeCell ref="A4:K4"/>
    <mergeCell ref="A109:K109"/>
  </mergeCells>
  <conditionalFormatting sqref="K7:K106">
    <cfRule type="expression" dxfId="2" priority="2">
      <formula>ISNUMBER(SEARCH("BREACH",K7))</formula>
    </cfRule>
  </conditionalFormatting>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4"/>
  <sheetViews>
    <sheetView showGridLines="0" zoomScaleNormal="100" workbookViewId="0">
      <pane ySplit="7" topLeftCell="A93" activePane="bottomLeft" state="frozen"/>
      <selection pane="bottomLeft" sqref="A1:N114"/>
    </sheetView>
  </sheetViews>
  <sheetFormatPr defaultColWidth="8.5703125" defaultRowHeight="15" x14ac:dyDescent="0.25"/>
  <cols>
    <col min="1" max="2" width="8" customWidth="1"/>
    <col min="3" max="3" width="10" customWidth="1"/>
    <col min="4" max="4" width="11" customWidth="1"/>
    <col min="5" max="5" width="12" customWidth="1"/>
    <col min="6" max="6" width="10" customWidth="1"/>
    <col min="7" max="8" width="9" customWidth="1"/>
    <col min="9" max="9" width="10" customWidth="1"/>
    <col min="10" max="10" width="11" customWidth="1"/>
    <col min="11" max="11" width="10" customWidth="1"/>
    <col min="12" max="12" width="8" customWidth="1"/>
    <col min="13" max="13" width="9" customWidth="1"/>
  </cols>
  <sheetData>
    <row r="1" spans="1:14" ht="20.25" x14ac:dyDescent="0.3">
      <c r="A1" s="1" t="str">
        <f>Actual_Rate_Tracker!A1</f>
        <v>camsroy.com</v>
      </c>
      <c r="B1" s="1"/>
      <c r="C1" s="1"/>
      <c r="D1" s="1"/>
      <c r="E1" s="1"/>
      <c r="F1" s="1"/>
      <c r="G1" s="1"/>
      <c r="H1" s="1"/>
      <c r="I1" s="1"/>
      <c r="J1" s="1"/>
      <c r="K1" s="1"/>
      <c r="L1" s="1"/>
      <c r="M1" s="1"/>
      <c r="N1" s="1"/>
    </row>
    <row r="2" spans="1:14" ht="27.75" customHeight="1" x14ac:dyDescent="0.25">
      <c r="A2" s="96" t="s">
        <v>129</v>
      </c>
      <c r="B2" s="96"/>
      <c r="C2" s="96"/>
      <c r="D2" s="96"/>
      <c r="E2" s="96"/>
      <c r="F2" s="96"/>
      <c r="G2" s="96"/>
      <c r="H2" s="96"/>
      <c r="I2" s="96"/>
      <c r="J2" s="96"/>
      <c r="K2" s="96"/>
      <c r="L2" s="96"/>
      <c r="M2" s="96"/>
      <c r="N2" s="96"/>
    </row>
    <row r="3" spans="1:14" ht="25.5" customHeight="1" x14ac:dyDescent="0.25">
      <c r="A3" s="97" t="s">
        <v>123</v>
      </c>
      <c r="B3" s="97"/>
      <c r="C3" s="97"/>
      <c r="D3" s="97"/>
      <c r="E3" s="97"/>
      <c r="F3" s="97"/>
      <c r="G3" s="97"/>
      <c r="H3" s="97"/>
      <c r="I3" s="97"/>
      <c r="J3" s="97"/>
      <c r="K3" s="97"/>
      <c r="L3" s="97"/>
      <c r="M3" s="97"/>
      <c r="N3" s="97"/>
    </row>
    <row r="4" spans="1:14" ht="6" customHeight="1" x14ac:dyDescent="0.25">
      <c r="A4" s="92"/>
      <c r="B4" s="92"/>
      <c r="C4" s="92"/>
      <c r="D4" s="92"/>
      <c r="E4" s="92"/>
      <c r="F4" s="92"/>
      <c r="G4" s="92"/>
      <c r="H4" s="92"/>
      <c r="I4" s="92"/>
      <c r="J4" s="92"/>
      <c r="K4" s="92"/>
      <c r="L4" s="92"/>
      <c r="M4" s="92"/>
      <c r="N4" s="92"/>
    </row>
    <row r="5" spans="1:14" x14ac:dyDescent="0.25">
      <c r="A5" s="2"/>
      <c r="B5" s="2"/>
      <c r="C5" s="2"/>
      <c r="D5" s="2"/>
      <c r="E5" s="2"/>
      <c r="F5" s="2"/>
      <c r="G5" s="2"/>
      <c r="H5" s="2"/>
      <c r="I5" s="2"/>
      <c r="J5" s="2"/>
      <c r="K5" s="2"/>
      <c r="L5" s="2"/>
      <c r="M5" s="2"/>
      <c r="N5" s="2"/>
    </row>
    <row r="6" spans="1:14" ht="15" customHeight="1" x14ac:dyDescent="0.25">
      <c r="A6" s="3" t="s">
        <v>124</v>
      </c>
      <c r="B6" s="2"/>
      <c r="C6" s="2"/>
      <c r="D6" s="2"/>
      <c r="E6" s="4">
        <f>(Assumptions!$B$10-Assumptions!$B$50)/Assumptions!$B$13</f>
        <v>5.7502040816326527</v>
      </c>
      <c r="F6" s="5" t="s">
        <v>125</v>
      </c>
      <c r="G6" s="2"/>
      <c r="H6" s="2"/>
      <c r="I6" s="2"/>
      <c r="J6" s="2"/>
      <c r="K6" s="2"/>
      <c r="L6" s="2"/>
      <c r="M6" s="2"/>
      <c r="N6" s="2"/>
    </row>
    <row r="7" spans="1:14" x14ac:dyDescent="0.25">
      <c r="A7" s="2"/>
      <c r="B7" s="2"/>
      <c r="C7" s="2"/>
      <c r="D7" s="2"/>
      <c r="E7" s="2"/>
      <c r="F7" s="2"/>
      <c r="G7" s="2"/>
      <c r="H7" s="2"/>
      <c r="I7" s="2"/>
      <c r="J7" s="2"/>
      <c r="K7" s="2"/>
      <c r="L7" s="2"/>
      <c r="M7" s="2"/>
      <c r="N7" s="2"/>
    </row>
    <row r="8" spans="1:14" ht="48.75" customHeight="1" x14ac:dyDescent="0.25">
      <c r="A8" s="6" t="s">
        <v>85</v>
      </c>
      <c r="B8" s="6" t="s">
        <v>86</v>
      </c>
      <c r="C8" s="6" t="s">
        <v>87</v>
      </c>
      <c r="D8" s="6" t="s">
        <v>88</v>
      </c>
      <c r="E8" s="6" t="s">
        <v>106</v>
      </c>
      <c r="F8" s="6" t="s">
        <v>90</v>
      </c>
      <c r="G8" s="6" t="s">
        <v>91</v>
      </c>
      <c r="H8" s="6" t="s">
        <v>126</v>
      </c>
      <c r="I8" s="6" t="s">
        <v>94</v>
      </c>
      <c r="J8" s="6" t="s">
        <v>95</v>
      </c>
      <c r="K8" s="6" t="s">
        <v>96</v>
      </c>
      <c r="L8" s="6" t="s">
        <v>97</v>
      </c>
      <c r="M8" s="6" t="s">
        <v>98</v>
      </c>
      <c r="N8" s="2"/>
    </row>
    <row r="9" spans="1:14" ht="15" customHeight="1" x14ac:dyDescent="0.25">
      <c r="A9" s="7">
        <v>1</v>
      </c>
      <c r="B9" s="7">
        <f t="shared" ref="B9:B40" si="0">ROUNDUP(A9/4,0)</f>
        <v>1</v>
      </c>
      <c r="C9" s="7" t="str">
        <f>IF(A9&gt;Assumptions!$B$14,"Closed",IF(A9&lt;=Assumptions!$B$12,"Moratorium","Repayment"))</f>
        <v>Moratorium</v>
      </c>
      <c r="D9" s="8">
        <f>Assumptions!$B$10</f>
        <v>371.76</v>
      </c>
      <c r="E9" s="8">
        <f>IF(B9&gt;25,0,INDEX(Assumptions!$B$22:$B$46,B9))</f>
        <v>60</v>
      </c>
      <c r="F9" s="8">
        <f t="shared" ref="F9:F40" si="1">E9/4</f>
        <v>15</v>
      </c>
      <c r="G9" s="8">
        <f>D9*Assumptions!$B$16</f>
        <v>8.0393099999999986</v>
      </c>
      <c r="H9" s="8">
        <f>IF(OR(A9&lt;=Assumptions!$B$12,A9&gt;Assumptions!$B$14),0,MIN($E$6,D9))</f>
        <v>0</v>
      </c>
      <c r="I9" s="8">
        <f>IF(A9&gt;Assumptions!$B$14,0,MIN(SUMPRODUCT((Assumptions!$B$53:$B$57=A9)*Assumptions!$C$53:$C$57)*Assumptions!$B$50,D9-H9))</f>
        <v>0</v>
      </c>
      <c r="J9" s="8">
        <f t="shared" ref="J9:J40" si="2">H9+I9</f>
        <v>0</v>
      </c>
      <c r="K9" s="8">
        <f t="shared" ref="K9:K40" si="3">D9-J9</f>
        <v>371.76</v>
      </c>
      <c r="L9" s="9">
        <f>IF(OR(A9&gt;Assumptions!$B$14,(G9+H9)=0),"",F9/(G9+H9))</f>
        <v>1.8658317691443671</v>
      </c>
      <c r="M9" s="7" t="str">
        <f>IF(A9&gt;Assumptions!$B$14,"Closed",IF(A9&lt;=Assumptions!$B$12,"Moratorium",IF(D9=0,"Closed (Repaid Early)",IF(L9&lt;Assumptions!$B$11-0.005,"BREACH","PASS"))))</f>
        <v>Moratorium</v>
      </c>
      <c r="N9" s="2"/>
    </row>
    <row r="10" spans="1:14" ht="15" customHeight="1" x14ac:dyDescent="0.25">
      <c r="A10" s="7">
        <v>2</v>
      </c>
      <c r="B10" s="7">
        <f t="shared" si="0"/>
        <v>1</v>
      </c>
      <c r="C10" s="7" t="str">
        <f>IF(A10&gt;Assumptions!$B$14,"Closed",IF(A10&lt;=Assumptions!$B$12,"Moratorium","Repayment"))</f>
        <v>Moratorium</v>
      </c>
      <c r="D10" s="8">
        <f t="shared" ref="D10:D41" si="4">K9</f>
        <v>371.76</v>
      </c>
      <c r="E10" s="8">
        <f>IF(B10&gt;25,0,INDEX(Assumptions!$B$22:$B$46,B10))</f>
        <v>60</v>
      </c>
      <c r="F10" s="8">
        <f t="shared" si="1"/>
        <v>15</v>
      </c>
      <c r="G10" s="8">
        <f>D10*Assumptions!$B$16</f>
        <v>8.0393099999999986</v>
      </c>
      <c r="H10" s="8">
        <f>IF(OR(A10&lt;=Assumptions!$B$12,A10&gt;Assumptions!$B$14),0,MIN($E$6,D10))</f>
        <v>0</v>
      </c>
      <c r="I10" s="8">
        <f>IF(A10&gt;Assumptions!$B$14,0,MIN(SUMPRODUCT((Assumptions!$B$53:$B$57=A10)*Assumptions!$C$53:$C$57)*Assumptions!$B$50,D10-H10))</f>
        <v>0</v>
      </c>
      <c r="J10" s="8">
        <f t="shared" si="2"/>
        <v>0</v>
      </c>
      <c r="K10" s="8">
        <f t="shared" si="3"/>
        <v>371.76</v>
      </c>
      <c r="L10" s="9">
        <f>IF(OR(A10&gt;Assumptions!$B$14,(G10+H10)=0),"",F10/(G10+H10))</f>
        <v>1.8658317691443671</v>
      </c>
      <c r="M10" s="7" t="str">
        <f>IF(A10&gt;Assumptions!$B$14,"Closed",IF(A10&lt;=Assumptions!$B$12,"Moratorium",IF(D10=0,"Closed (Repaid Early)",IF(L10&lt;Assumptions!$B$11-0.005,"BREACH","PASS"))))</f>
        <v>Moratorium</v>
      </c>
      <c r="N10" s="2"/>
    </row>
    <row r="11" spans="1:14" ht="15" customHeight="1" x14ac:dyDescent="0.25">
      <c r="A11" s="10">
        <v>3</v>
      </c>
      <c r="B11" s="10">
        <f t="shared" si="0"/>
        <v>1</v>
      </c>
      <c r="C11" s="10" t="str">
        <f>IF(A11&gt;Assumptions!$B$14,"Closed",IF(A11&lt;=Assumptions!$B$12,"Moratorium","Repayment"))</f>
        <v>Repayment</v>
      </c>
      <c r="D11" s="11">
        <f t="shared" si="4"/>
        <v>371.76</v>
      </c>
      <c r="E11" s="11">
        <f>IF(B11&gt;25,0,INDEX(Assumptions!$B$22:$B$46,B11))</f>
        <v>60</v>
      </c>
      <c r="F11" s="11">
        <f t="shared" si="1"/>
        <v>15</v>
      </c>
      <c r="G11" s="11">
        <f>D11*Assumptions!$B$16</f>
        <v>8.0393099999999986</v>
      </c>
      <c r="H11" s="11">
        <f>IF(OR(A11&lt;=Assumptions!$B$12,A11&gt;Assumptions!$B$14),0,MIN($E$6,D11))</f>
        <v>5.7502040816326527</v>
      </c>
      <c r="I11" s="11">
        <f>IF(A11&gt;Assumptions!$B$14,0,MIN(SUMPRODUCT((Assumptions!$B$53:$B$57=A11)*Assumptions!$C$53:$C$57)*Assumptions!$B$50,D11-H11))</f>
        <v>18</v>
      </c>
      <c r="J11" s="11">
        <f t="shared" si="2"/>
        <v>23.750204081632653</v>
      </c>
      <c r="K11" s="11">
        <f t="shared" si="3"/>
        <v>348.00979591836733</v>
      </c>
      <c r="L11" s="12">
        <f>IF(OR(A11&gt;Assumptions!$B$14,(G11+H11)=0),"",F11/(G11+H11))</f>
        <v>1.0877830727900479</v>
      </c>
      <c r="M11" s="10" t="str">
        <f>IF(A11&gt;Assumptions!$B$14,"Closed",IF(A11&lt;=Assumptions!$B$12,"Moratorium",IF(D11=0,"Closed (Repaid Early)",IF(L11&lt;Assumptions!$B$11-0.005,"BREACH","PASS"))))</f>
        <v>BREACH</v>
      </c>
      <c r="N11" s="2"/>
    </row>
    <row r="12" spans="1:14" ht="15" customHeight="1" x14ac:dyDescent="0.25">
      <c r="A12" s="13">
        <v>4</v>
      </c>
      <c r="B12" s="13">
        <f t="shared" si="0"/>
        <v>1</v>
      </c>
      <c r="C12" s="13" t="str">
        <f>IF(A12&gt;Assumptions!$B$14,"Closed",IF(A12&lt;=Assumptions!$B$12,"Moratorium","Repayment"))</f>
        <v>Repayment</v>
      </c>
      <c r="D12" s="14">
        <f t="shared" si="4"/>
        <v>348.00979591836733</v>
      </c>
      <c r="E12" s="14">
        <f>IF(B12&gt;25,0,INDEX(Assumptions!$B$22:$B$46,B12))</f>
        <v>60</v>
      </c>
      <c r="F12" s="14">
        <f t="shared" si="1"/>
        <v>15</v>
      </c>
      <c r="G12" s="14">
        <f>D12*Assumptions!$B$16</f>
        <v>7.5257118367346933</v>
      </c>
      <c r="H12" s="14">
        <f>IF(OR(A12&lt;=Assumptions!$B$12,A12&gt;Assumptions!$B$14),0,MIN($E$6,D12))</f>
        <v>5.7502040816326527</v>
      </c>
      <c r="I12" s="14">
        <f>IF(A12&gt;Assumptions!$B$14,0,MIN(SUMPRODUCT((Assumptions!$B$53:$B$57=A12)*Assumptions!$C$53:$C$57)*Assumptions!$B$50,D12-H12))</f>
        <v>0</v>
      </c>
      <c r="J12" s="14">
        <f t="shared" si="2"/>
        <v>5.7502040816326527</v>
      </c>
      <c r="K12" s="14">
        <f t="shared" si="3"/>
        <v>342.25959183673467</v>
      </c>
      <c r="L12" s="15">
        <f>IF(OR(A12&gt;Assumptions!$B$14,(G12+H12)=0),"",F12/(G12+H12))</f>
        <v>1.1298655469222556</v>
      </c>
      <c r="M12" s="13" t="str">
        <f>IF(A12&gt;Assumptions!$B$14,"Closed",IF(A12&lt;=Assumptions!$B$12,"Moratorium",IF(D12=0,"Closed (Repaid Early)",IF(L12&lt;Assumptions!$B$11-0.005,"BREACH","PASS"))))</f>
        <v>BREACH</v>
      </c>
      <c r="N12" s="2"/>
    </row>
    <row r="13" spans="1:14" ht="15" customHeight="1" x14ac:dyDescent="0.25">
      <c r="A13" s="10">
        <v>5</v>
      </c>
      <c r="B13" s="10">
        <f t="shared" si="0"/>
        <v>2</v>
      </c>
      <c r="C13" s="10" t="str">
        <f>IF(A13&gt;Assumptions!$B$14,"Closed",IF(A13&lt;=Assumptions!$B$12,"Moratorium","Repayment"))</f>
        <v>Repayment</v>
      </c>
      <c r="D13" s="11">
        <f t="shared" si="4"/>
        <v>342.25959183673467</v>
      </c>
      <c r="E13" s="11">
        <f>IF(B13&gt;25,0,INDEX(Assumptions!$B$22:$B$46,B13))</f>
        <v>60</v>
      </c>
      <c r="F13" s="11">
        <f t="shared" si="1"/>
        <v>15</v>
      </c>
      <c r="G13" s="11">
        <f>D13*Assumptions!$B$16</f>
        <v>7.4013636734693868</v>
      </c>
      <c r="H13" s="11">
        <f>IF(OR(A13&lt;=Assumptions!$B$12,A13&gt;Assumptions!$B$14),0,MIN($E$6,D13))</f>
        <v>5.7502040816326527</v>
      </c>
      <c r="I13" s="11">
        <f>IF(A13&gt;Assumptions!$B$14,0,MIN(SUMPRODUCT((Assumptions!$B$53:$B$57=A13)*Assumptions!$C$53:$C$57)*Assumptions!$B$50,D13-H13))</f>
        <v>0</v>
      </c>
      <c r="J13" s="11">
        <f t="shared" si="2"/>
        <v>5.7502040816326527</v>
      </c>
      <c r="K13" s="11">
        <f t="shared" si="3"/>
        <v>336.50938775510201</v>
      </c>
      <c r="L13" s="12">
        <f>IF(OR(A13&gt;Assumptions!$B$14,(G13+H13)=0),"",F13/(G13+H13))</f>
        <v>1.1405484334125016</v>
      </c>
      <c r="M13" s="10" t="str">
        <f>IF(A13&gt;Assumptions!$B$14,"Closed",IF(A13&lt;=Assumptions!$B$12,"Moratorium",IF(D13=0,"Closed (Repaid Early)",IF(L13&lt;Assumptions!$B$11-0.005,"BREACH","PASS"))))</f>
        <v>BREACH</v>
      </c>
      <c r="N13" s="2"/>
    </row>
    <row r="14" spans="1:14" ht="15" customHeight="1" x14ac:dyDescent="0.25">
      <c r="A14" s="13">
        <v>6</v>
      </c>
      <c r="B14" s="13">
        <f t="shared" si="0"/>
        <v>2</v>
      </c>
      <c r="C14" s="13" t="str">
        <f>IF(A14&gt;Assumptions!$B$14,"Closed",IF(A14&lt;=Assumptions!$B$12,"Moratorium","Repayment"))</f>
        <v>Repayment</v>
      </c>
      <c r="D14" s="14">
        <f t="shared" si="4"/>
        <v>336.50938775510201</v>
      </c>
      <c r="E14" s="14">
        <f>IF(B14&gt;25,0,INDEX(Assumptions!$B$22:$B$46,B14))</f>
        <v>60</v>
      </c>
      <c r="F14" s="14">
        <f t="shared" si="1"/>
        <v>15</v>
      </c>
      <c r="G14" s="14">
        <f>D14*Assumptions!$B$16</f>
        <v>7.2770155102040803</v>
      </c>
      <c r="H14" s="14">
        <f>IF(OR(A14&lt;=Assumptions!$B$12,A14&gt;Assumptions!$B$14),0,MIN($E$6,D14))</f>
        <v>5.7502040816326527</v>
      </c>
      <c r="I14" s="14">
        <f>IF(A14&gt;Assumptions!$B$14,0,MIN(SUMPRODUCT((Assumptions!$B$53:$B$57=A14)*Assumptions!$C$53:$C$57)*Assumptions!$B$50,D14-H14))</f>
        <v>45</v>
      </c>
      <c r="J14" s="14">
        <f t="shared" si="2"/>
        <v>50.750204081632653</v>
      </c>
      <c r="K14" s="14">
        <f t="shared" si="3"/>
        <v>285.75918367346935</v>
      </c>
      <c r="L14" s="15">
        <f>IF(OR(A14&gt;Assumptions!$B$14,(G14+H14)=0),"",F14/(G14+H14))</f>
        <v>1.1514352617038461</v>
      </c>
      <c r="M14" s="13" t="str">
        <f>IF(A14&gt;Assumptions!$B$14,"Closed",IF(A14&lt;=Assumptions!$B$12,"Moratorium",IF(D14=0,"Closed (Repaid Early)",IF(L14&lt;Assumptions!$B$11-0.005,"BREACH","PASS"))))</f>
        <v>BREACH</v>
      </c>
      <c r="N14" s="2"/>
    </row>
    <row r="15" spans="1:14" ht="15" customHeight="1" x14ac:dyDescent="0.25">
      <c r="A15" s="10">
        <v>7</v>
      </c>
      <c r="B15" s="10">
        <f t="shared" si="0"/>
        <v>2</v>
      </c>
      <c r="C15" s="10" t="str">
        <f>IF(A15&gt;Assumptions!$B$14,"Closed",IF(A15&lt;=Assumptions!$B$12,"Moratorium","Repayment"))</f>
        <v>Repayment</v>
      </c>
      <c r="D15" s="11">
        <f t="shared" si="4"/>
        <v>285.75918367346935</v>
      </c>
      <c r="E15" s="11">
        <f>IF(B15&gt;25,0,INDEX(Assumptions!$B$22:$B$46,B15))</f>
        <v>60</v>
      </c>
      <c r="F15" s="11">
        <f t="shared" si="1"/>
        <v>15</v>
      </c>
      <c r="G15" s="11">
        <f>D15*Assumptions!$B$16</f>
        <v>6.1795423469387742</v>
      </c>
      <c r="H15" s="11">
        <f>IF(OR(A15&lt;=Assumptions!$B$12,A15&gt;Assumptions!$B$14),0,MIN($E$6,D15))</f>
        <v>5.7502040816326527</v>
      </c>
      <c r="I15" s="11">
        <f>IF(A15&gt;Assumptions!$B$14,0,MIN(SUMPRODUCT((Assumptions!$B$53:$B$57=A15)*Assumptions!$C$53:$C$57)*Assumptions!$B$50,D15-H15))</f>
        <v>0</v>
      </c>
      <c r="J15" s="11">
        <f t="shared" si="2"/>
        <v>5.7502040816326527</v>
      </c>
      <c r="K15" s="11">
        <f t="shared" si="3"/>
        <v>280.00897959183669</v>
      </c>
      <c r="L15" s="12">
        <f>IF(OR(A15&gt;Assumptions!$B$14,(G15+H15)=0),"",F15/(G15+H15))</f>
        <v>1.2573611760997196</v>
      </c>
      <c r="M15" s="10" t="str">
        <f>IF(A15&gt;Assumptions!$B$14,"Closed",IF(A15&lt;=Assumptions!$B$12,"Moratorium",IF(D15=0,"Closed (Repaid Early)",IF(L15&lt;Assumptions!$B$11-0.005,"BREACH","PASS"))))</f>
        <v>BREACH</v>
      </c>
      <c r="N15" s="2"/>
    </row>
    <row r="16" spans="1:14" ht="15" customHeight="1" x14ac:dyDescent="0.25">
      <c r="A16" s="13">
        <v>8</v>
      </c>
      <c r="B16" s="13">
        <f t="shared" si="0"/>
        <v>2</v>
      </c>
      <c r="C16" s="13" t="str">
        <f>IF(A16&gt;Assumptions!$B$14,"Closed",IF(A16&lt;=Assumptions!$B$12,"Moratorium","Repayment"))</f>
        <v>Repayment</v>
      </c>
      <c r="D16" s="14">
        <f t="shared" si="4"/>
        <v>280.00897959183669</v>
      </c>
      <c r="E16" s="14">
        <f>IF(B16&gt;25,0,INDEX(Assumptions!$B$22:$B$46,B16))</f>
        <v>60</v>
      </c>
      <c r="F16" s="14">
        <f t="shared" si="1"/>
        <v>15</v>
      </c>
      <c r="G16" s="14">
        <f>D16*Assumptions!$B$16</f>
        <v>6.0551941836734677</v>
      </c>
      <c r="H16" s="14">
        <f>IF(OR(A16&lt;=Assumptions!$B$12,A16&gt;Assumptions!$B$14),0,MIN($E$6,D16))</f>
        <v>5.7502040816326527</v>
      </c>
      <c r="I16" s="14">
        <f>IF(A16&gt;Assumptions!$B$14,0,MIN(SUMPRODUCT((Assumptions!$B$53:$B$57=A16)*Assumptions!$C$53:$C$57)*Assumptions!$B$50,D16-H16))</f>
        <v>0</v>
      </c>
      <c r="J16" s="14">
        <f t="shared" si="2"/>
        <v>5.7502040816326527</v>
      </c>
      <c r="K16" s="14">
        <f t="shared" si="3"/>
        <v>274.25877551020403</v>
      </c>
      <c r="L16" s="15">
        <f>IF(OR(A16&gt;Assumptions!$B$14,(G16+H16)=0),"",F16/(G16+H16))</f>
        <v>1.2706051640868588</v>
      </c>
      <c r="M16" s="13" t="str">
        <f>IF(A16&gt;Assumptions!$B$14,"Closed",IF(A16&lt;=Assumptions!$B$12,"Moratorium",IF(D16=0,"Closed (Repaid Early)",IF(L16&lt;Assumptions!$B$11-0.005,"BREACH","PASS"))))</f>
        <v>BREACH</v>
      </c>
      <c r="N16" s="2"/>
    </row>
    <row r="17" spans="1:14" ht="15" customHeight="1" x14ac:dyDescent="0.25">
      <c r="A17" s="10">
        <v>9</v>
      </c>
      <c r="B17" s="10">
        <f t="shared" si="0"/>
        <v>3</v>
      </c>
      <c r="C17" s="10" t="str">
        <f>IF(A17&gt;Assumptions!$B$14,"Closed",IF(A17&lt;=Assumptions!$B$12,"Moratorium","Repayment"))</f>
        <v>Repayment</v>
      </c>
      <c r="D17" s="11">
        <f t="shared" si="4"/>
        <v>274.25877551020403</v>
      </c>
      <c r="E17" s="11">
        <f>IF(B17&gt;25,0,INDEX(Assumptions!$B$22:$B$46,B17))</f>
        <v>60</v>
      </c>
      <c r="F17" s="11">
        <f t="shared" si="1"/>
        <v>15</v>
      </c>
      <c r="G17" s="11">
        <f>D17*Assumptions!$B$16</f>
        <v>5.9308460204081621</v>
      </c>
      <c r="H17" s="11">
        <f>IF(OR(A17&lt;=Assumptions!$B$12,A17&gt;Assumptions!$B$14),0,MIN($E$6,D17))</f>
        <v>5.7502040816326527</v>
      </c>
      <c r="I17" s="11">
        <f>IF(A17&gt;Assumptions!$B$14,0,MIN(SUMPRODUCT((Assumptions!$B$53:$B$57=A17)*Assumptions!$C$53:$C$57)*Assumptions!$B$50,D17-H17))</f>
        <v>0</v>
      </c>
      <c r="J17" s="11">
        <f t="shared" si="2"/>
        <v>5.7502040816326527</v>
      </c>
      <c r="K17" s="11">
        <f t="shared" si="3"/>
        <v>268.50857142857137</v>
      </c>
      <c r="L17" s="12">
        <f>IF(OR(A17&gt;Assumptions!$B$14,(G17+H17)=0),"",F17/(G17+H17))</f>
        <v>1.2841311242539168</v>
      </c>
      <c r="M17" s="10" t="str">
        <f>IF(A17&gt;Assumptions!$B$14,"Closed",IF(A17&lt;=Assumptions!$B$12,"Moratorium",IF(D17=0,"Closed (Repaid Early)",IF(L17&lt;Assumptions!$B$11-0.005,"BREACH","PASS"))))</f>
        <v>BREACH</v>
      </c>
      <c r="N17" s="2"/>
    </row>
    <row r="18" spans="1:14" ht="15" customHeight="1" x14ac:dyDescent="0.25">
      <c r="A18" s="13">
        <v>10</v>
      </c>
      <c r="B18" s="13">
        <f t="shared" si="0"/>
        <v>3</v>
      </c>
      <c r="C18" s="13" t="str">
        <f>IF(A18&gt;Assumptions!$B$14,"Closed",IF(A18&lt;=Assumptions!$B$12,"Moratorium","Repayment"))</f>
        <v>Repayment</v>
      </c>
      <c r="D18" s="14">
        <f t="shared" si="4"/>
        <v>268.50857142857137</v>
      </c>
      <c r="E18" s="14">
        <f>IF(B18&gt;25,0,INDEX(Assumptions!$B$22:$B$46,B18))</f>
        <v>60</v>
      </c>
      <c r="F18" s="14">
        <f t="shared" si="1"/>
        <v>15</v>
      </c>
      <c r="G18" s="14">
        <f>D18*Assumptions!$B$16</f>
        <v>5.8064978571428556</v>
      </c>
      <c r="H18" s="14">
        <f>IF(OR(A18&lt;=Assumptions!$B$12,A18&gt;Assumptions!$B$14),0,MIN($E$6,D18))</f>
        <v>5.7502040816326527</v>
      </c>
      <c r="I18" s="14">
        <f>IF(A18&gt;Assumptions!$B$14,0,MIN(SUMPRODUCT((Assumptions!$B$53:$B$57=A18)*Assumptions!$C$53:$C$57)*Assumptions!$B$50,D18-H18))</f>
        <v>27</v>
      </c>
      <c r="J18" s="14">
        <f t="shared" si="2"/>
        <v>32.750204081632653</v>
      </c>
      <c r="K18" s="14">
        <f t="shared" si="3"/>
        <v>235.75836734693871</v>
      </c>
      <c r="L18" s="15">
        <f>IF(OR(A18&gt;Assumptions!$B$14,(G18+H18)=0),"",F18/(G18+H18))</f>
        <v>1.2979481585201571</v>
      </c>
      <c r="M18" s="13" t="str">
        <f>IF(A18&gt;Assumptions!$B$14,"Closed",IF(A18&lt;=Assumptions!$B$12,"Moratorium",IF(D18=0,"Closed (Repaid Early)",IF(L18&lt;Assumptions!$B$11-0.005,"BREACH","PASS"))))</f>
        <v>BREACH</v>
      </c>
      <c r="N18" s="2"/>
    </row>
    <row r="19" spans="1:14" ht="15" customHeight="1" x14ac:dyDescent="0.25">
      <c r="A19" s="10">
        <v>11</v>
      </c>
      <c r="B19" s="10">
        <f t="shared" si="0"/>
        <v>3</v>
      </c>
      <c r="C19" s="10" t="str">
        <f>IF(A19&gt;Assumptions!$B$14,"Closed",IF(A19&lt;=Assumptions!$B$12,"Moratorium","Repayment"))</f>
        <v>Repayment</v>
      </c>
      <c r="D19" s="11">
        <f t="shared" si="4"/>
        <v>235.75836734693871</v>
      </c>
      <c r="E19" s="11">
        <f>IF(B19&gt;25,0,INDEX(Assumptions!$B$22:$B$46,B19))</f>
        <v>60</v>
      </c>
      <c r="F19" s="11">
        <f t="shared" si="1"/>
        <v>15</v>
      </c>
      <c r="G19" s="11">
        <f>D19*Assumptions!$B$16</f>
        <v>5.0982746938775492</v>
      </c>
      <c r="H19" s="11">
        <f>IF(OR(A19&lt;=Assumptions!$B$12,A19&gt;Assumptions!$B$14),0,MIN($E$6,D19))</f>
        <v>5.7502040816326527</v>
      </c>
      <c r="I19" s="11">
        <f>IF(A19&gt;Assumptions!$B$14,0,MIN(SUMPRODUCT((Assumptions!$B$53:$B$57=A19)*Assumptions!$C$53:$C$57)*Assumptions!$B$50,D19-H19))</f>
        <v>0</v>
      </c>
      <c r="J19" s="11">
        <f t="shared" si="2"/>
        <v>5.7502040816326527</v>
      </c>
      <c r="K19" s="11">
        <f t="shared" si="3"/>
        <v>230.00816326530605</v>
      </c>
      <c r="L19" s="12">
        <f>IF(OR(A19&gt;Assumptions!$B$14,(G19+H19)=0),"",F19/(G19+H19))</f>
        <v>1.3826823382704689</v>
      </c>
      <c r="M19" s="10" t="str">
        <f>IF(A19&gt;Assumptions!$B$14,"Closed",IF(A19&lt;=Assumptions!$B$12,"Moratorium",IF(D19=0,"Closed (Repaid Early)",IF(L19&lt;Assumptions!$B$11-0.005,"BREACH","PASS"))))</f>
        <v>BREACH</v>
      </c>
      <c r="N19" s="2"/>
    </row>
    <row r="20" spans="1:14" ht="15" customHeight="1" x14ac:dyDescent="0.25">
      <c r="A20" s="13">
        <v>12</v>
      </c>
      <c r="B20" s="13">
        <f t="shared" si="0"/>
        <v>3</v>
      </c>
      <c r="C20" s="13" t="str">
        <f>IF(A20&gt;Assumptions!$B$14,"Closed",IF(A20&lt;=Assumptions!$B$12,"Moratorium","Repayment"))</f>
        <v>Repayment</v>
      </c>
      <c r="D20" s="14">
        <f t="shared" si="4"/>
        <v>230.00816326530605</v>
      </c>
      <c r="E20" s="14">
        <f>IF(B20&gt;25,0,INDEX(Assumptions!$B$22:$B$46,B20))</f>
        <v>60</v>
      </c>
      <c r="F20" s="14">
        <f t="shared" si="1"/>
        <v>15</v>
      </c>
      <c r="G20" s="14">
        <f>D20*Assumptions!$B$16</f>
        <v>4.9739265306122427</v>
      </c>
      <c r="H20" s="14">
        <f>IF(OR(A20&lt;=Assumptions!$B$12,A20&gt;Assumptions!$B$14),0,MIN($E$6,D20))</f>
        <v>5.7502040816326527</v>
      </c>
      <c r="I20" s="14">
        <f>IF(A20&gt;Assumptions!$B$14,0,MIN(SUMPRODUCT((Assumptions!$B$53:$B$57=A20)*Assumptions!$C$53:$C$57)*Assumptions!$B$50,D20-H20))</f>
        <v>0</v>
      </c>
      <c r="J20" s="14">
        <f t="shared" si="2"/>
        <v>5.7502040816326527</v>
      </c>
      <c r="K20" s="14">
        <f t="shared" si="3"/>
        <v>224.25795918367339</v>
      </c>
      <c r="L20" s="15">
        <f>IF(OR(A20&gt;Assumptions!$B$14,(G20+H20)=0),"",F20/(G20+H20))</f>
        <v>1.3987147809327205</v>
      </c>
      <c r="M20" s="13" t="str">
        <f>IF(A20&gt;Assumptions!$B$14,"Closed",IF(A20&lt;=Assumptions!$B$12,"Moratorium",IF(D20=0,"Closed (Repaid Early)",IF(L20&lt;Assumptions!$B$11-0.005,"BREACH","PASS"))))</f>
        <v>BREACH</v>
      </c>
      <c r="N20" s="2"/>
    </row>
    <row r="21" spans="1:14" ht="15" customHeight="1" x14ac:dyDescent="0.25">
      <c r="A21" s="10">
        <v>13</v>
      </c>
      <c r="B21" s="10">
        <f t="shared" si="0"/>
        <v>4</v>
      </c>
      <c r="C21" s="10" t="str">
        <f>IF(A21&gt;Assumptions!$B$14,"Closed",IF(A21&lt;=Assumptions!$B$12,"Moratorium","Repayment"))</f>
        <v>Repayment</v>
      </c>
      <c r="D21" s="11">
        <f t="shared" si="4"/>
        <v>224.25795918367339</v>
      </c>
      <c r="E21" s="11">
        <f>IF(B21&gt;25,0,INDEX(Assumptions!$B$22:$B$46,B21))</f>
        <v>60</v>
      </c>
      <c r="F21" s="11">
        <f t="shared" si="1"/>
        <v>15</v>
      </c>
      <c r="G21" s="11">
        <f>D21*Assumptions!$B$16</f>
        <v>4.849578367346937</v>
      </c>
      <c r="H21" s="11">
        <f>IF(OR(A21&lt;=Assumptions!$B$12,A21&gt;Assumptions!$B$14),0,MIN($E$6,D21))</f>
        <v>5.7502040816326527</v>
      </c>
      <c r="I21" s="11">
        <f>IF(A21&gt;Assumptions!$B$14,0,MIN(SUMPRODUCT((Assumptions!$B$53:$B$57=A21)*Assumptions!$C$53:$C$57)*Assumptions!$B$50,D21-H21))</f>
        <v>0</v>
      </c>
      <c r="J21" s="11">
        <f t="shared" si="2"/>
        <v>5.7502040816326527</v>
      </c>
      <c r="K21" s="11">
        <f t="shared" si="3"/>
        <v>218.50775510204073</v>
      </c>
      <c r="L21" s="12">
        <f>IF(OR(A21&gt;Assumptions!$B$14,(G21+H21)=0),"",F21/(G21+H21))</f>
        <v>1.4151233831637751</v>
      </c>
      <c r="M21" s="10" t="str">
        <f>IF(A21&gt;Assumptions!$B$14,"Closed",IF(A21&lt;=Assumptions!$B$12,"Moratorium",IF(D21=0,"Closed (Repaid Early)",IF(L21&lt;Assumptions!$B$11-0.005,"BREACH","PASS"))))</f>
        <v>BREACH</v>
      </c>
      <c r="N21" s="2"/>
    </row>
    <row r="22" spans="1:14" ht="15" customHeight="1" x14ac:dyDescent="0.25">
      <c r="A22" s="13">
        <v>14</v>
      </c>
      <c r="B22" s="13">
        <f t="shared" si="0"/>
        <v>4</v>
      </c>
      <c r="C22" s="13" t="str">
        <f>IF(A22&gt;Assumptions!$B$14,"Closed",IF(A22&lt;=Assumptions!$B$12,"Moratorium","Repayment"))</f>
        <v>Repayment</v>
      </c>
      <c r="D22" s="14">
        <f t="shared" si="4"/>
        <v>218.50775510204073</v>
      </c>
      <c r="E22" s="14">
        <f>IF(B22&gt;25,0,INDEX(Assumptions!$B$22:$B$46,B22))</f>
        <v>60</v>
      </c>
      <c r="F22" s="14">
        <f t="shared" si="1"/>
        <v>15</v>
      </c>
      <c r="G22" s="14">
        <f>D22*Assumptions!$B$16</f>
        <v>4.7252302040816305</v>
      </c>
      <c r="H22" s="14">
        <f>IF(OR(A22&lt;=Assumptions!$B$12,A22&gt;Assumptions!$B$14),0,MIN($E$6,D22))</f>
        <v>5.7502040816326527</v>
      </c>
      <c r="I22" s="14">
        <f>IF(A22&gt;Assumptions!$B$14,0,MIN(SUMPRODUCT((Assumptions!$B$53:$B$57=A22)*Assumptions!$C$53:$C$57)*Assumptions!$B$50,D22-H22))</f>
        <v>0</v>
      </c>
      <c r="J22" s="14">
        <f t="shared" si="2"/>
        <v>5.7502040816326527</v>
      </c>
      <c r="K22" s="14">
        <f t="shared" si="3"/>
        <v>212.75755102040807</v>
      </c>
      <c r="L22" s="15">
        <f>IF(OR(A22&gt;Assumptions!$B$14,(G22+H22)=0),"",F22/(G22+H22))</f>
        <v>1.4319215405184706</v>
      </c>
      <c r="M22" s="13" t="str">
        <f>IF(A22&gt;Assumptions!$B$14,"Closed",IF(A22&lt;=Assumptions!$B$12,"Moratorium",IF(D22=0,"Closed (Repaid Early)",IF(L22&lt;Assumptions!$B$11-0.005,"BREACH","PASS"))))</f>
        <v>BREACH</v>
      </c>
      <c r="N22" s="2"/>
    </row>
    <row r="23" spans="1:14" ht="15" customHeight="1" x14ac:dyDescent="0.25">
      <c r="A23" s="10">
        <v>15</v>
      </c>
      <c r="B23" s="10">
        <f t="shared" si="0"/>
        <v>4</v>
      </c>
      <c r="C23" s="10" t="str">
        <f>IF(A23&gt;Assumptions!$B$14,"Closed",IF(A23&lt;=Assumptions!$B$12,"Moratorium","Repayment"))</f>
        <v>Repayment</v>
      </c>
      <c r="D23" s="11">
        <f t="shared" si="4"/>
        <v>212.75755102040807</v>
      </c>
      <c r="E23" s="11">
        <f>IF(B23&gt;25,0,INDEX(Assumptions!$B$22:$B$46,B23))</f>
        <v>60</v>
      </c>
      <c r="F23" s="11">
        <f t="shared" si="1"/>
        <v>15</v>
      </c>
      <c r="G23" s="11">
        <f>D23*Assumptions!$B$16</f>
        <v>4.600882040816324</v>
      </c>
      <c r="H23" s="11">
        <f>IF(OR(A23&lt;=Assumptions!$B$12,A23&gt;Assumptions!$B$14),0,MIN($E$6,D23))</f>
        <v>5.7502040816326527</v>
      </c>
      <c r="I23" s="11">
        <f>IF(A23&gt;Assumptions!$B$14,0,MIN(SUMPRODUCT((Assumptions!$B$53:$B$57=A23)*Assumptions!$C$53:$C$57)*Assumptions!$B$50,D23-H23))</f>
        <v>0</v>
      </c>
      <c r="J23" s="11">
        <f t="shared" si="2"/>
        <v>5.7502040816326527</v>
      </c>
      <c r="K23" s="11">
        <f t="shared" si="3"/>
        <v>207.00734693877541</v>
      </c>
      <c r="L23" s="12">
        <f>IF(OR(A23&gt;Assumptions!$B$14,(G23+H23)=0),"",F23/(G23+H23))</f>
        <v>1.4491232922377746</v>
      </c>
      <c r="M23" s="10" t="str">
        <f>IF(A23&gt;Assumptions!$B$14,"Closed",IF(A23&lt;=Assumptions!$B$12,"Moratorium",IF(D23=0,"Closed (Repaid Early)",IF(L23&lt;Assumptions!$B$11-0.005,"BREACH","PASS"))))</f>
        <v>BREACH</v>
      </c>
      <c r="N23" s="2"/>
    </row>
    <row r="24" spans="1:14" ht="15" customHeight="1" x14ac:dyDescent="0.25">
      <c r="A24" s="13">
        <v>16</v>
      </c>
      <c r="B24" s="13">
        <f t="shared" si="0"/>
        <v>4</v>
      </c>
      <c r="C24" s="13" t="str">
        <f>IF(A24&gt;Assumptions!$B$14,"Closed",IF(A24&lt;=Assumptions!$B$12,"Moratorium","Repayment"))</f>
        <v>Repayment</v>
      </c>
      <c r="D24" s="14">
        <f t="shared" si="4"/>
        <v>207.00734693877541</v>
      </c>
      <c r="E24" s="14">
        <f>IF(B24&gt;25,0,INDEX(Assumptions!$B$22:$B$46,B24))</f>
        <v>60</v>
      </c>
      <c r="F24" s="14">
        <f t="shared" si="1"/>
        <v>15</v>
      </c>
      <c r="G24" s="14">
        <f>D24*Assumptions!$B$16</f>
        <v>4.4765338775510184</v>
      </c>
      <c r="H24" s="14">
        <f>IF(OR(A24&lt;=Assumptions!$B$12,A24&gt;Assumptions!$B$14),0,MIN($E$6,D24))</f>
        <v>5.7502040816326527</v>
      </c>
      <c r="I24" s="14">
        <f>IF(A24&gt;Assumptions!$B$14,0,MIN(SUMPRODUCT((Assumptions!$B$53:$B$57=A24)*Assumptions!$C$53:$C$57)*Assumptions!$B$50,D24-H24))</f>
        <v>0</v>
      </c>
      <c r="J24" s="14">
        <f t="shared" si="2"/>
        <v>5.7502040816326527</v>
      </c>
      <c r="K24" s="14">
        <f t="shared" si="3"/>
        <v>201.25714285714275</v>
      </c>
      <c r="L24" s="15">
        <f>IF(OR(A24&gt;Assumptions!$B$14,(G24+H24)=0),"",F24/(G24+H24))</f>
        <v>1.4667433603820768</v>
      </c>
      <c r="M24" s="13" t="str">
        <f>IF(A24&gt;Assumptions!$B$14,"Closed",IF(A24&lt;=Assumptions!$B$12,"Moratorium",IF(D24=0,"Closed (Repaid Early)",IF(L24&lt;Assumptions!$B$11-0.005,"BREACH","PASS"))))</f>
        <v>BREACH</v>
      </c>
      <c r="N24" s="2"/>
    </row>
    <row r="25" spans="1:14" ht="15" customHeight="1" x14ac:dyDescent="0.25">
      <c r="A25" s="10">
        <v>17</v>
      </c>
      <c r="B25" s="10">
        <f t="shared" si="0"/>
        <v>5</v>
      </c>
      <c r="C25" s="10" t="str">
        <f>IF(A25&gt;Assumptions!$B$14,"Closed",IF(A25&lt;=Assumptions!$B$12,"Moratorium","Repayment"))</f>
        <v>Repayment</v>
      </c>
      <c r="D25" s="11">
        <f t="shared" si="4"/>
        <v>201.25714285714275</v>
      </c>
      <c r="E25" s="11">
        <f>IF(B25&gt;25,0,INDEX(Assumptions!$B$22:$B$46,B25))</f>
        <v>60</v>
      </c>
      <c r="F25" s="11">
        <f t="shared" si="1"/>
        <v>15</v>
      </c>
      <c r="G25" s="11">
        <f>D25*Assumptions!$B$16</f>
        <v>4.3521857142857119</v>
      </c>
      <c r="H25" s="11">
        <f>IF(OR(A25&lt;=Assumptions!$B$12,A25&gt;Assumptions!$B$14),0,MIN($E$6,D25))</f>
        <v>5.7502040816326527</v>
      </c>
      <c r="I25" s="11">
        <f>IF(A25&gt;Assumptions!$B$14,0,MIN(SUMPRODUCT((Assumptions!$B$53:$B$57=A25)*Assumptions!$C$53:$C$57)*Assumptions!$B$50,D25-H25))</f>
        <v>0</v>
      </c>
      <c r="J25" s="11">
        <f t="shared" si="2"/>
        <v>5.7502040816326527</v>
      </c>
      <c r="K25" s="11">
        <f t="shared" si="3"/>
        <v>195.50693877551009</v>
      </c>
      <c r="L25" s="12">
        <f>IF(OR(A25&gt;Assumptions!$B$14,(G25+H25)=0),"",F25/(G25+H25))</f>
        <v>1.4847971918545848</v>
      </c>
      <c r="M25" s="10" t="str">
        <f>IF(A25&gt;Assumptions!$B$14,"Closed",IF(A25&lt;=Assumptions!$B$12,"Moratorium",IF(D25=0,"Closed (Repaid Early)",IF(L25&lt;Assumptions!$B$11-0.005,"BREACH","PASS"))))</f>
        <v>BREACH</v>
      </c>
      <c r="N25" s="2"/>
    </row>
    <row r="26" spans="1:14" ht="15" customHeight="1" x14ac:dyDescent="0.25">
      <c r="A26" s="13">
        <v>18</v>
      </c>
      <c r="B26" s="13">
        <f t="shared" si="0"/>
        <v>5</v>
      </c>
      <c r="C26" s="13" t="str">
        <f>IF(A26&gt;Assumptions!$B$14,"Closed",IF(A26&lt;=Assumptions!$B$12,"Moratorium","Repayment"))</f>
        <v>Repayment</v>
      </c>
      <c r="D26" s="14">
        <f t="shared" si="4"/>
        <v>195.50693877551009</v>
      </c>
      <c r="E26" s="14">
        <f>IF(B26&gt;25,0,INDEX(Assumptions!$B$22:$B$46,B26))</f>
        <v>60</v>
      </c>
      <c r="F26" s="14">
        <f t="shared" si="1"/>
        <v>15</v>
      </c>
      <c r="G26" s="14">
        <f>D26*Assumptions!$B$16</f>
        <v>4.2278375510204054</v>
      </c>
      <c r="H26" s="14">
        <f>IF(OR(A26&lt;=Assumptions!$B$12,A26&gt;Assumptions!$B$14),0,MIN($E$6,D26))</f>
        <v>5.7502040816326527</v>
      </c>
      <c r="I26" s="14">
        <f>IF(A26&gt;Assumptions!$B$14,0,MIN(SUMPRODUCT((Assumptions!$B$53:$B$57=A26)*Assumptions!$C$53:$C$57)*Assumptions!$B$50,D26-H26))</f>
        <v>0</v>
      </c>
      <c r="J26" s="14">
        <f t="shared" si="2"/>
        <v>5.7502040816326527</v>
      </c>
      <c r="K26" s="14">
        <f t="shared" si="3"/>
        <v>189.75673469387743</v>
      </c>
      <c r="L26" s="15">
        <f>IF(OR(A26&gt;Assumptions!$B$14,(G26+H26)=0),"",F26/(G26+H26))</f>
        <v>1.503301003566935</v>
      </c>
      <c r="M26" s="13" t="str">
        <f>IF(A26&gt;Assumptions!$B$14,"Closed",IF(A26&lt;=Assumptions!$B$12,"Moratorium",IF(D26=0,"Closed (Repaid Early)",IF(L26&lt;Assumptions!$B$11-0.005,"BREACH","PASS"))))</f>
        <v>PASS</v>
      </c>
      <c r="N26" s="2"/>
    </row>
    <row r="27" spans="1:14" ht="15" customHeight="1" x14ac:dyDescent="0.25">
      <c r="A27" s="10">
        <v>19</v>
      </c>
      <c r="B27" s="10">
        <f t="shared" si="0"/>
        <v>5</v>
      </c>
      <c r="C27" s="10" t="str">
        <f>IF(A27&gt;Assumptions!$B$14,"Closed",IF(A27&lt;=Assumptions!$B$12,"Moratorium","Repayment"))</f>
        <v>Repayment</v>
      </c>
      <c r="D27" s="11">
        <f t="shared" si="4"/>
        <v>189.75673469387743</v>
      </c>
      <c r="E27" s="11">
        <f>IF(B27&gt;25,0,INDEX(Assumptions!$B$22:$B$46,B27))</f>
        <v>60</v>
      </c>
      <c r="F27" s="11">
        <f t="shared" si="1"/>
        <v>15</v>
      </c>
      <c r="G27" s="11">
        <f>D27*Assumptions!$B$16</f>
        <v>4.1034893877550989</v>
      </c>
      <c r="H27" s="11">
        <f>IF(OR(A27&lt;=Assumptions!$B$12,A27&gt;Assumptions!$B$14),0,MIN($E$6,D27))</f>
        <v>5.7502040816326527</v>
      </c>
      <c r="I27" s="11">
        <f>IF(A27&gt;Assumptions!$B$14,0,MIN(SUMPRODUCT((Assumptions!$B$53:$B$57=A27)*Assumptions!$C$53:$C$57)*Assumptions!$B$50,D27-H27))</f>
        <v>0</v>
      </c>
      <c r="J27" s="11">
        <f t="shared" si="2"/>
        <v>5.7502040816326527</v>
      </c>
      <c r="K27" s="11">
        <f t="shared" si="3"/>
        <v>184.00653061224477</v>
      </c>
      <c r="L27" s="12">
        <f>IF(OR(A27&gt;Assumptions!$B$14,(G27+H27)=0),"",F27/(G27+H27))</f>
        <v>1.5222718310245964</v>
      </c>
      <c r="M27" s="10" t="str">
        <f>IF(A27&gt;Assumptions!$B$14,"Closed",IF(A27&lt;=Assumptions!$B$12,"Moratorium",IF(D27=0,"Closed (Repaid Early)",IF(L27&lt;Assumptions!$B$11-0.005,"BREACH","PASS"))))</f>
        <v>PASS</v>
      </c>
      <c r="N27" s="2"/>
    </row>
    <row r="28" spans="1:14" ht="15" customHeight="1" x14ac:dyDescent="0.25">
      <c r="A28" s="13">
        <v>20</v>
      </c>
      <c r="B28" s="13">
        <f t="shared" si="0"/>
        <v>5</v>
      </c>
      <c r="C28" s="13" t="str">
        <f>IF(A28&gt;Assumptions!$B$14,"Closed",IF(A28&lt;=Assumptions!$B$12,"Moratorium","Repayment"))</f>
        <v>Repayment</v>
      </c>
      <c r="D28" s="14">
        <f t="shared" si="4"/>
        <v>184.00653061224477</v>
      </c>
      <c r="E28" s="14">
        <f>IF(B28&gt;25,0,INDEX(Assumptions!$B$22:$B$46,B28))</f>
        <v>60</v>
      </c>
      <c r="F28" s="14">
        <f t="shared" si="1"/>
        <v>15</v>
      </c>
      <c r="G28" s="14">
        <f>D28*Assumptions!$B$16</f>
        <v>3.9791412244897928</v>
      </c>
      <c r="H28" s="14">
        <f>IF(OR(A28&lt;=Assumptions!$B$12,A28&gt;Assumptions!$B$14),0,MIN($E$6,D28))</f>
        <v>5.7502040816326527</v>
      </c>
      <c r="I28" s="14">
        <f>IF(A28&gt;Assumptions!$B$14,0,MIN(SUMPRODUCT((Assumptions!$B$53:$B$57=A28)*Assumptions!$C$53:$C$57)*Assumptions!$B$50,D28-H28))</f>
        <v>0</v>
      </c>
      <c r="J28" s="14">
        <f t="shared" si="2"/>
        <v>5.7502040816326527</v>
      </c>
      <c r="K28" s="14">
        <f t="shared" si="3"/>
        <v>178.25632653061211</v>
      </c>
      <c r="L28" s="15">
        <f>IF(OR(A28&gt;Assumptions!$B$14,(G28+H28)=0),"",F28/(G28+H28))</f>
        <v>1.5417275806380166</v>
      </c>
      <c r="M28" s="13" t="str">
        <f>IF(A28&gt;Assumptions!$B$14,"Closed",IF(A28&lt;=Assumptions!$B$12,"Moratorium",IF(D28=0,"Closed (Repaid Early)",IF(L28&lt;Assumptions!$B$11-0.005,"BREACH","PASS"))))</f>
        <v>PASS</v>
      </c>
      <c r="N28" s="2"/>
    </row>
    <row r="29" spans="1:14" ht="15" customHeight="1" x14ac:dyDescent="0.25">
      <c r="A29" s="10">
        <v>21</v>
      </c>
      <c r="B29" s="10">
        <f t="shared" si="0"/>
        <v>6</v>
      </c>
      <c r="C29" s="10" t="str">
        <f>IF(A29&gt;Assumptions!$B$14,"Closed",IF(A29&lt;=Assumptions!$B$12,"Moratorium","Repayment"))</f>
        <v>Repayment</v>
      </c>
      <c r="D29" s="11">
        <f t="shared" si="4"/>
        <v>178.25632653061211</v>
      </c>
      <c r="E29" s="11">
        <f>IF(B29&gt;25,0,INDEX(Assumptions!$B$22:$B$46,B29))</f>
        <v>60</v>
      </c>
      <c r="F29" s="11">
        <f t="shared" si="1"/>
        <v>15</v>
      </c>
      <c r="G29" s="11">
        <f>D29*Assumptions!$B$16</f>
        <v>3.8547930612244867</v>
      </c>
      <c r="H29" s="11">
        <f>IF(OR(A29&lt;=Assumptions!$B$12,A29&gt;Assumptions!$B$14),0,MIN($E$6,D29))</f>
        <v>5.7502040816326527</v>
      </c>
      <c r="I29" s="11">
        <f>IF(A29&gt;Assumptions!$B$14,0,MIN(SUMPRODUCT((Assumptions!$B$53:$B$57=A29)*Assumptions!$C$53:$C$57)*Assumptions!$B$50,D29-H29))</f>
        <v>0</v>
      </c>
      <c r="J29" s="11">
        <f t="shared" si="2"/>
        <v>5.7502040816326527</v>
      </c>
      <c r="K29" s="11">
        <f t="shared" si="3"/>
        <v>172.50612244897945</v>
      </c>
      <c r="L29" s="12">
        <f>IF(OR(A29&gt;Assumptions!$B$14,(G29+H29)=0),"",F29/(G29+H29))</f>
        <v>1.5616870860971481</v>
      </c>
      <c r="M29" s="10" t="str">
        <f>IF(A29&gt;Assumptions!$B$14,"Closed",IF(A29&lt;=Assumptions!$B$12,"Moratorium",IF(D29=0,"Closed (Repaid Early)",IF(L29&lt;Assumptions!$B$11-0.005,"BREACH","PASS"))))</f>
        <v>PASS</v>
      </c>
      <c r="N29" s="2"/>
    </row>
    <row r="30" spans="1:14" ht="15" customHeight="1" x14ac:dyDescent="0.25">
      <c r="A30" s="13">
        <v>22</v>
      </c>
      <c r="B30" s="13">
        <f t="shared" si="0"/>
        <v>6</v>
      </c>
      <c r="C30" s="13" t="str">
        <f>IF(A30&gt;Assumptions!$B$14,"Closed",IF(A30&lt;=Assumptions!$B$12,"Moratorium","Repayment"))</f>
        <v>Repayment</v>
      </c>
      <c r="D30" s="14">
        <f t="shared" si="4"/>
        <v>172.50612244897945</v>
      </c>
      <c r="E30" s="14">
        <f>IF(B30&gt;25,0,INDEX(Assumptions!$B$22:$B$46,B30))</f>
        <v>60</v>
      </c>
      <c r="F30" s="14">
        <f t="shared" si="1"/>
        <v>15</v>
      </c>
      <c r="G30" s="14">
        <f>D30*Assumptions!$B$16</f>
        <v>3.7304448979591802</v>
      </c>
      <c r="H30" s="14">
        <f>IF(OR(A30&lt;=Assumptions!$B$12,A30&gt;Assumptions!$B$14),0,MIN($E$6,D30))</f>
        <v>5.7502040816326527</v>
      </c>
      <c r="I30" s="14">
        <f>IF(A30&gt;Assumptions!$B$14,0,MIN(SUMPRODUCT((Assumptions!$B$53:$B$57=A30)*Assumptions!$C$53:$C$57)*Assumptions!$B$50,D30-H30))</f>
        <v>0</v>
      </c>
      <c r="J30" s="14">
        <f t="shared" si="2"/>
        <v>5.7502040816326527</v>
      </c>
      <c r="K30" s="14">
        <f t="shared" si="3"/>
        <v>166.75591836734679</v>
      </c>
      <c r="L30" s="15">
        <f>IF(OR(A30&gt;Assumptions!$B$14,(G30+H30)=0),"",F30/(G30+H30))</f>
        <v>1.5821701691824253</v>
      </c>
      <c r="M30" s="13" t="str">
        <f>IF(A30&gt;Assumptions!$B$14,"Closed",IF(A30&lt;=Assumptions!$B$12,"Moratorium",IF(D30=0,"Closed (Repaid Early)",IF(L30&lt;Assumptions!$B$11-0.005,"BREACH","PASS"))))</f>
        <v>PASS</v>
      </c>
      <c r="N30" s="2"/>
    </row>
    <row r="31" spans="1:14" ht="15" customHeight="1" x14ac:dyDescent="0.25">
      <c r="A31" s="10">
        <v>23</v>
      </c>
      <c r="B31" s="10">
        <f t="shared" si="0"/>
        <v>6</v>
      </c>
      <c r="C31" s="10" t="str">
        <f>IF(A31&gt;Assumptions!$B$14,"Closed",IF(A31&lt;=Assumptions!$B$12,"Moratorium","Repayment"))</f>
        <v>Repayment</v>
      </c>
      <c r="D31" s="11">
        <f t="shared" si="4"/>
        <v>166.75591836734679</v>
      </c>
      <c r="E31" s="11">
        <f>IF(B31&gt;25,0,INDEX(Assumptions!$B$22:$B$46,B31))</f>
        <v>60</v>
      </c>
      <c r="F31" s="11">
        <f t="shared" si="1"/>
        <v>15</v>
      </c>
      <c r="G31" s="11">
        <f>D31*Assumptions!$B$16</f>
        <v>3.6060967346938742</v>
      </c>
      <c r="H31" s="11">
        <f>IF(OR(A31&lt;=Assumptions!$B$12,A31&gt;Assumptions!$B$14),0,MIN($E$6,D31))</f>
        <v>5.7502040816326527</v>
      </c>
      <c r="I31" s="11">
        <f>IF(A31&gt;Assumptions!$B$14,0,MIN(SUMPRODUCT((Assumptions!$B$53:$B$57=A31)*Assumptions!$C$53:$C$57)*Assumptions!$B$50,D31-H31))</f>
        <v>0</v>
      </c>
      <c r="J31" s="11">
        <f t="shared" si="2"/>
        <v>5.7502040816326527</v>
      </c>
      <c r="K31" s="11">
        <f t="shared" si="3"/>
        <v>161.00571428571413</v>
      </c>
      <c r="L31" s="12">
        <f>IF(OR(A31&gt;Assumptions!$B$14,(G31+H31)=0),"",F31/(G31+H31))</f>
        <v>1.6031977054249207</v>
      </c>
      <c r="M31" s="10" t="str">
        <f>IF(A31&gt;Assumptions!$B$14,"Closed",IF(A31&lt;=Assumptions!$B$12,"Moratorium",IF(D31=0,"Closed (Repaid Early)",IF(L31&lt;Assumptions!$B$11-0.005,"BREACH","PASS"))))</f>
        <v>PASS</v>
      </c>
      <c r="N31" s="2"/>
    </row>
    <row r="32" spans="1:14" ht="15" customHeight="1" x14ac:dyDescent="0.25">
      <c r="A32" s="13">
        <v>24</v>
      </c>
      <c r="B32" s="13">
        <f t="shared" si="0"/>
        <v>6</v>
      </c>
      <c r="C32" s="13" t="str">
        <f>IF(A32&gt;Assumptions!$B$14,"Closed",IF(A32&lt;=Assumptions!$B$12,"Moratorium","Repayment"))</f>
        <v>Repayment</v>
      </c>
      <c r="D32" s="14">
        <f t="shared" si="4"/>
        <v>161.00571428571413</v>
      </c>
      <c r="E32" s="14">
        <f>IF(B32&gt;25,0,INDEX(Assumptions!$B$22:$B$46,B32))</f>
        <v>60</v>
      </c>
      <c r="F32" s="14">
        <f t="shared" si="1"/>
        <v>15</v>
      </c>
      <c r="G32" s="14">
        <f>D32*Assumptions!$B$16</f>
        <v>3.4817485714285681</v>
      </c>
      <c r="H32" s="14">
        <f>IF(OR(A32&lt;=Assumptions!$B$12,A32&gt;Assumptions!$B$14),0,MIN($E$6,D32))</f>
        <v>5.7502040816326527</v>
      </c>
      <c r="I32" s="14">
        <f>IF(A32&gt;Assumptions!$B$14,0,MIN(SUMPRODUCT((Assumptions!$B$53:$B$57=A32)*Assumptions!$C$53:$C$57)*Assumptions!$B$50,D32-H32))</f>
        <v>0</v>
      </c>
      <c r="J32" s="14">
        <f t="shared" si="2"/>
        <v>5.7502040816326527</v>
      </c>
      <c r="K32" s="14">
        <f t="shared" si="3"/>
        <v>155.25551020408147</v>
      </c>
      <c r="L32" s="15">
        <f>IF(OR(A32&gt;Assumptions!$B$14,(G32+H32)=0),"",F32/(G32+H32))</f>
        <v>1.6247916950728896</v>
      </c>
      <c r="M32" s="13" t="str">
        <f>IF(A32&gt;Assumptions!$B$14,"Closed",IF(A32&lt;=Assumptions!$B$12,"Moratorium",IF(D32=0,"Closed (Repaid Early)",IF(L32&lt;Assumptions!$B$11-0.005,"BREACH","PASS"))))</f>
        <v>PASS</v>
      </c>
      <c r="N32" s="2"/>
    </row>
    <row r="33" spans="1:14" ht="15" customHeight="1" x14ac:dyDescent="0.25">
      <c r="A33" s="10">
        <v>25</v>
      </c>
      <c r="B33" s="10">
        <f t="shared" si="0"/>
        <v>7</v>
      </c>
      <c r="C33" s="10" t="str">
        <f>IF(A33&gt;Assumptions!$B$14,"Closed",IF(A33&lt;=Assumptions!$B$12,"Moratorium","Repayment"))</f>
        <v>Repayment</v>
      </c>
      <c r="D33" s="11">
        <f t="shared" si="4"/>
        <v>155.25551020408147</v>
      </c>
      <c r="E33" s="11">
        <f>IF(B33&gt;25,0,INDEX(Assumptions!$B$22:$B$46,B33))</f>
        <v>60</v>
      </c>
      <c r="F33" s="11">
        <f t="shared" si="1"/>
        <v>15</v>
      </c>
      <c r="G33" s="11">
        <f>D33*Assumptions!$B$16</f>
        <v>3.3574004081632616</v>
      </c>
      <c r="H33" s="11">
        <f>IF(OR(A33&lt;=Assumptions!$B$12,A33&gt;Assumptions!$B$14),0,MIN($E$6,D33))</f>
        <v>5.7502040816326527</v>
      </c>
      <c r="I33" s="11">
        <f>IF(A33&gt;Assumptions!$B$14,0,MIN(SUMPRODUCT((Assumptions!$B$53:$B$57=A33)*Assumptions!$C$53:$C$57)*Assumptions!$B$50,D33-H33))</f>
        <v>0</v>
      </c>
      <c r="J33" s="11">
        <f t="shared" si="2"/>
        <v>5.7502040816326527</v>
      </c>
      <c r="K33" s="11">
        <f t="shared" si="3"/>
        <v>149.50530612244881</v>
      </c>
      <c r="L33" s="12">
        <f>IF(OR(A33&gt;Assumptions!$B$14,(G33+H33)=0),"",F33/(G33+H33))</f>
        <v>1.6469753398718485</v>
      </c>
      <c r="M33" s="10" t="str">
        <f>IF(A33&gt;Assumptions!$B$14,"Closed",IF(A33&lt;=Assumptions!$B$12,"Moratorium",IF(D33=0,"Closed (Repaid Early)",IF(L33&lt;Assumptions!$B$11-0.005,"BREACH","PASS"))))</f>
        <v>PASS</v>
      </c>
      <c r="N33" s="2"/>
    </row>
    <row r="34" spans="1:14" ht="15" customHeight="1" x14ac:dyDescent="0.25">
      <c r="A34" s="13">
        <v>26</v>
      </c>
      <c r="B34" s="13">
        <f t="shared" si="0"/>
        <v>7</v>
      </c>
      <c r="C34" s="13" t="str">
        <f>IF(A34&gt;Assumptions!$B$14,"Closed",IF(A34&lt;=Assumptions!$B$12,"Moratorium","Repayment"))</f>
        <v>Repayment</v>
      </c>
      <c r="D34" s="14">
        <f t="shared" si="4"/>
        <v>149.50530612244881</v>
      </c>
      <c r="E34" s="14">
        <f>IF(B34&gt;25,0,INDEX(Assumptions!$B$22:$B$46,B34))</f>
        <v>60</v>
      </c>
      <c r="F34" s="14">
        <f t="shared" si="1"/>
        <v>15</v>
      </c>
      <c r="G34" s="14">
        <f>D34*Assumptions!$B$16</f>
        <v>3.2330522448979555</v>
      </c>
      <c r="H34" s="14">
        <f>IF(OR(A34&lt;=Assumptions!$B$12,A34&gt;Assumptions!$B$14),0,MIN($E$6,D34))</f>
        <v>5.7502040816326527</v>
      </c>
      <c r="I34" s="14">
        <f>IF(A34&gt;Assumptions!$B$14,0,MIN(SUMPRODUCT((Assumptions!$B$53:$B$57=A34)*Assumptions!$C$53:$C$57)*Assumptions!$B$50,D34-H34))</f>
        <v>0</v>
      </c>
      <c r="J34" s="14">
        <f t="shared" si="2"/>
        <v>5.7502040816326527</v>
      </c>
      <c r="K34" s="14">
        <f t="shared" si="3"/>
        <v>143.75510204081615</v>
      </c>
      <c r="L34" s="15">
        <f>IF(OR(A34&gt;Assumptions!$B$14,(G34+H34)=0),"",F34/(G34+H34))</f>
        <v>1.669773126221491</v>
      </c>
      <c r="M34" s="13" t="str">
        <f>IF(A34&gt;Assumptions!$B$14,"Closed",IF(A34&lt;=Assumptions!$B$12,"Moratorium",IF(D34=0,"Closed (Repaid Early)",IF(L34&lt;Assumptions!$B$11-0.005,"BREACH","PASS"))))</f>
        <v>PASS</v>
      </c>
      <c r="N34" s="2"/>
    </row>
    <row r="35" spans="1:14" ht="15" customHeight="1" x14ac:dyDescent="0.25">
      <c r="A35" s="10">
        <v>27</v>
      </c>
      <c r="B35" s="10">
        <f t="shared" si="0"/>
        <v>7</v>
      </c>
      <c r="C35" s="10" t="str">
        <f>IF(A35&gt;Assumptions!$B$14,"Closed",IF(A35&lt;=Assumptions!$B$12,"Moratorium","Repayment"))</f>
        <v>Repayment</v>
      </c>
      <c r="D35" s="11">
        <f t="shared" si="4"/>
        <v>143.75510204081615</v>
      </c>
      <c r="E35" s="11">
        <f>IF(B35&gt;25,0,INDEX(Assumptions!$B$22:$B$46,B35))</f>
        <v>60</v>
      </c>
      <c r="F35" s="11">
        <f t="shared" si="1"/>
        <v>15</v>
      </c>
      <c r="G35" s="11">
        <f>D35*Assumptions!$B$16</f>
        <v>3.108704081632649</v>
      </c>
      <c r="H35" s="11">
        <f>IF(OR(A35&lt;=Assumptions!$B$12,A35&gt;Assumptions!$B$14),0,MIN($E$6,D35))</f>
        <v>5.7502040816326527</v>
      </c>
      <c r="I35" s="11">
        <f>IF(A35&gt;Assumptions!$B$14,0,MIN(SUMPRODUCT((Assumptions!$B$53:$B$57=A35)*Assumptions!$C$53:$C$57)*Assumptions!$B$50,D35-H35))</f>
        <v>0</v>
      </c>
      <c r="J35" s="11">
        <f t="shared" si="2"/>
        <v>5.7502040816326527</v>
      </c>
      <c r="K35" s="11">
        <f t="shared" si="3"/>
        <v>138.0048979591835</v>
      </c>
      <c r="L35" s="12">
        <f>IF(OR(A35&gt;Assumptions!$B$14,(G35+H35)=0),"",F35/(G35+H35))</f>
        <v>1.6932109153359995</v>
      </c>
      <c r="M35" s="10" t="str">
        <f>IF(A35&gt;Assumptions!$B$14,"Closed",IF(A35&lt;=Assumptions!$B$12,"Moratorium",IF(D35=0,"Closed (Repaid Early)",IF(L35&lt;Assumptions!$B$11-0.005,"BREACH","PASS"))))</f>
        <v>PASS</v>
      </c>
      <c r="N35" s="2"/>
    </row>
    <row r="36" spans="1:14" ht="15" customHeight="1" x14ac:dyDescent="0.25">
      <c r="A36" s="13">
        <v>28</v>
      </c>
      <c r="B36" s="13">
        <f t="shared" si="0"/>
        <v>7</v>
      </c>
      <c r="C36" s="13" t="str">
        <f>IF(A36&gt;Assumptions!$B$14,"Closed",IF(A36&lt;=Assumptions!$B$12,"Moratorium","Repayment"))</f>
        <v>Repayment</v>
      </c>
      <c r="D36" s="14">
        <f t="shared" si="4"/>
        <v>138.0048979591835</v>
      </c>
      <c r="E36" s="14">
        <f>IF(B36&gt;25,0,INDEX(Assumptions!$B$22:$B$46,B36))</f>
        <v>60</v>
      </c>
      <c r="F36" s="14">
        <f t="shared" si="1"/>
        <v>15</v>
      </c>
      <c r="G36" s="14">
        <f>D36*Assumptions!$B$16</f>
        <v>2.9843559183673429</v>
      </c>
      <c r="H36" s="14">
        <f>IF(OR(A36&lt;=Assumptions!$B$12,A36&gt;Assumptions!$B$14),0,MIN($E$6,D36))</f>
        <v>5.7502040816326527</v>
      </c>
      <c r="I36" s="14">
        <f>IF(A36&gt;Assumptions!$B$14,0,MIN(SUMPRODUCT((Assumptions!$B$53:$B$57=A36)*Assumptions!$C$53:$C$57)*Assumptions!$B$50,D36-H36))</f>
        <v>0</v>
      </c>
      <c r="J36" s="14">
        <f t="shared" si="2"/>
        <v>5.7502040816326527</v>
      </c>
      <c r="K36" s="14">
        <f t="shared" si="3"/>
        <v>132.25469387755084</v>
      </c>
      <c r="L36" s="15">
        <f>IF(OR(A36&gt;Assumptions!$B$14,(G36+H36)=0),"",F36/(G36+H36))</f>
        <v>1.7173160411056778</v>
      </c>
      <c r="M36" s="13" t="str">
        <f>IF(A36&gt;Assumptions!$B$14,"Closed",IF(A36&lt;=Assumptions!$B$12,"Moratorium",IF(D36=0,"Closed (Repaid Early)",IF(L36&lt;Assumptions!$B$11-0.005,"BREACH","PASS"))))</f>
        <v>PASS</v>
      </c>
      <c r="N36" s="2"/>
    </row>
    <row r="37" spans="1:14" ht="15" customHeight="1" x14ac:dyDescent="0.25">
      <c r="A37" s="10">
        <v>29</v>
      </c>
      <c r="B37" s="10">
        <f t="shared" si="0"/>
        <v>8</v>
      </c>
      <c r="C37" s="10" t="str">
        <f>IF(A37&gt;Assumptions!$B$14,"Closed",IF(A37&lt;=Assumptions!$B$12,"Moratorium","Repayment"))</f>
        <v>Repayment</v>
      </c>
      <c r="D37" s="11">
        <f t="shared" si="4"/>
        <v>132.25469387755084</v>
      </c>
      <c r="E37" s="11">
        <f>IF(B37&gt;25,0,INDEX(Assumptions!$B$22:$B$46,B37))</f>
        <v>60</v>
      </c>
      <c r="F37" s="11">
        <f t="shared" si="1"/>
        <v>15</v>
      </c>
      <c r="G37" s="11">
        <f>D37*Assumptions!$B$16</f>
        <v>2.8600077551020364</v>
      </c>
      <c r="H37" s="11">
        <f>IF(OR(A37&lt;=Assumptions!$B$12,A37&gt;Assumptions!$B$14),0,MIN($E$6,D37))</f>
        <v>5.7502040816326527</v>
      </c>
      <c r="I37" s="11">
        <f>IF(A37&gt;Assumptions!$B$14,0,MIN(SUMPRODUCT((Assumptions!$B$53:$B$57=A37)*Assumptions!$C$53:$C$57)*Assumptions!$B$50,D37-H37))</f>
        <v>0</v>
      </c>
      <c r="J37" s="11">
        <f t="shared" si="2"/>
        <v>5.7502040816326527</v>
      </c>
      <c r="K37" s="11">
        <f t="shared" si="3"/>
        <v>126.50448979591818</v>
      </c>
      <c r="L37" s="12">
        <f>IF(OR(A37&gt;Assumptions!$B$14,(G37+H37)=0),"",F37/(G37+H37))</f>
        <v>1.7421174164384505</v>
      </c>
      <c r="M37" s="10" t="str">
        <f>IF(A37&gt;Assumptions!$B$14,"Closed",IF(A37&lt;=Assumptions!$B$12,"Moratorium",IF(D37=0,"Closed (Repaid Early)",IF(L37&lt;Assumptions!$B$11-0.005,"BREACH","PASS"))))</f>
        <v>PASS</v>
      </c>
      <c r="N37" s="2"/>
    </row>
    <row r="38" spans="1:14" ht="15" customHeight="1" x14ac:dyDescent="0.25">
      <c r="A38" s="13">
        <v>30</v>
      </c>
      <c r="B38" s="13">
        <f t="shared" si="0"/>
        <v>8</v>
      </c>
      <c r="C38" s="13" t="str">
        <f>IF(A38&gt;Assumptions!$B$14,"Closed",IF(A38&lt;=Assumptions!$B$12,"Moratorium","Repayment"))</f>
        <v>Repayment</v>
      </c>
      <c r="D38" s="14">
        <f t="shared" si="4"/>
        <v>126.50448979591818</v>
      </c>
      <c r="E38" s="14">
        <f>IF(B38&gt;25,0,INDEX(Assumptions!$B$22:$B$46,B38))</f>
        <v>60</v>
      </c>
      <c r="F38" s="14">
        <f t="shared" si="1"/>
        <v>15</v>
      </c>
      <c r="G38" s="14">
        <f>D38*Assumptions!$B$16</f>
        <v>2.7356595918367304</v>
      </c>
      <c r="H38" s="14">
        <f>IF(OR(A38&lt;=Assumptions!$B$12,A38&gt;Assumptions!$B$14),0,MIN($E$6,D38))</f>
        <v>5.7502040816326527</v>
      </c>
      <c r="I38" s="14">
        <f>IF(A38&gt;Assumptions!$B$14,0,MIN(SUMPRODUCT((Assumptions!$B$53:$B$57=A38)*Assumptions!$C$53:$C$57)*Assumptions!$B$50,D38-H38))</f>
        <v>0</v>
      </c>
      <c r="J38" s="14">
        <f t="shared" si="2"/>
        <v>5.7502040816326527</v>
      </c>
      <c r="K38" s="14">
        <f t="shared" si="3"/>
        <v>120.75428571428552</v>
      </c>
      <c r="L38" s="15">
        <f>IF(OR(A38&gt;Assumptions!$B$14,(G38+H38)=0),"",F38/(G38+H38))</f>
        <v>1.7676456489510584</v>
      </c>
      <c r="M38" s="13" t="str">
        <f>IF(A38&gt;Assumptions!$B$14,"Closed",IF(A38&lt;=Assumptions!$B$12,"Moratorium",IF(D38=0,"Closed (Repaid Early)",IF(L38&lt;Assumptions!$B$11-0.005,"BREACH","PASS"))))</f>
        <v>PASS</v>
      </c>
      <c r="N38" s="2"/>
    </row>
    <row r="39" spans="1:14" ht="15" customHeight="1" x14ac:dyDescent="0.25">
      <c r="A39" s="10">
        <v>31</v>
      </c>
      <c r="B39" s="10">
        <f t="shared" si="0"/>
        <v>8</v>
      </c>
      <c r="C39" s="10" t="str">
        <f>IF(A39&gt;Assumptions!$B$14,"Closed",IF(A39&lt;=Assumptions!$B$12,"Moratorium","Repayment"))</f>
        <v>Repayment</v>
      </c>
      <c r="D39" s="11">
        <f t="shared" si="4"/>
        <v>120.75428571428552</v>
      </c>
      <c r="E39" s="11">
        <f>IF(B39&gt;25,0,INDEX(Assumptions!$B$22:$B$46,B39))</f>
        <v>60</v>
      </c>
      <c r="F39" s="11">
        <f t="shared" si="1"/>
        <v>15</v>
      </c>
      <c r="G39" s="11">
        <f>D39*Assumptions!$B$16</f>
        <v>2.6113114285714243</v>
      </c>
      <c r="H39" s="11">
        <f>IF(OR(A39&lt;=Assumptions!$B$12,A39&gt;Assumptions!$B$14),0,MIN($E$6,D39))</f>
        <v>5.7502040816326527</v>
      </c>
      <c r="I39" s="11">
        <f>IF(A39&gt;Assumptions!$B$14,0,MIN(SUMPRODUCT((Assumptions!$B$53:$B$57=A39)*Assumptions!$C$53:$C$57)*Assumptions!$B$50,D39-H39))</f>
        <v>0</v>
      </c>
      <c r="J39" s="11">
        <f t="shared" si="2"/>
        <v>5.7502040816326527</v>
      </c>
      <c r="K39" s="11">
        <f t="shared" si="3"/>
        <v>115.00408163265286</v>
      </c>
      <c r="L39" s="12">
        <f>IF(OR(A39&gt;Assumptions!$B$14,(G39+H39)=0),"",F39/(G39+H39))</f>
        <v>1.7939331669832541</v>
      </c>
      <c r="M39" s="10" t="str">
        <f>IF(A39&gt;Assumptions!$B$14,"Closed",IF(A39&lt;=Assumptions!$B$12,"Moratorium",IF(D39=0,"Closed (Repaid Early)",IF(L39&lt;Assumptions!$B$11-0.005,"BREACH","PASS"))))</f>
        <v>PASS</v>
      </c>
      <c r="N39" s="2"/>
    </row>
    <row r="40" spans="1:14" ht="15" customHeight="1" x14ac:dyDescent="0.25">
      <c r="A40" s="13">
        <v>32</v>
      </c>
      <c r="B40" s="13">
        <f t="shared" si="0"/>
        <v>8</v>
      </c>
      <c r="C40" s="13" t="str">
        <f>IF(A40&gt;Assumptions!$B$14,"Closed",IF(A40&lt;=Assumptions!$B$12,"Moratorium","Repayment"))</f>
        <v>Repayment</v>
      </c>
      <c r="D40" s="14">
        <f t="shared" si="4"/>
        <v>115.00408163265286</v>
      </c>
      <c r="E40" s="14">
        <f>IF(B40&gt;25,0,INDEX(Assumptions!$B$22:$B$46,B40))</f>
        <v>60</v>
      </c>
      <c r="F40" s="14">
        <f t="shared" si="1"/>
        <v>15</v>
      </c>
      <c r="G40" s="14">
        <f>D40*Assumptions!$B$16</f>
        <v>2.4869632653061178</v>
      </c>
      <c r="H40" s="14">
        <f>IF(OR(A40&lt;=Assumptions!$B$12,A40&gt;Assumptions!$B$14),0,MIN($E$6,D40))</f>
        <v>5.7502040816326527</v>
      </c>
      <c r="I40" s="14">
        <f>IF(A40&gt;Assumptions!$B$14,0,MIN(SUMPRODUCT((Assumptions!$B$53:$B$57=A40)*Assumptions!$C$53:$C$57)*Assumptions!$B$50,D40-H40))</f>
        <v>0</v>
      </c>
      <c r="J40" s="14">
        <f t="shared" si="2"/>
        <v>5.7502040816326527</v>
      </c>
      <c r="K40" s="14">
        <f t="shared" si="3"/>
        <v>109.2538775510202</v>
      </c>
      <c r="L40" s="15">
        <f>IF(OR(A40&gt;Assumptions!$B$14,(G40+H40)=0),"",F40/(G40+H40))</f>
        <v>1.8210143570258461</v>
      </c>
      <c r="M40" s="13" t="str">
        <f>IF(A40&gt;Assumptions!$B$14,"Closed",IF(A40&lt;=Assumptions!$B$12,"Moratorium",IF(D40=0,"Closed (Repaid Early)",IF(L40&lt;Assumptions!$B$11-0.005,"BREACH","PASS"))))</f>
        <v>PASS</v>
      </c>
      <c r="N40" s="2"/>
    </row>
    <row r="41" spans="1:14" ht="15" customHeight="1" x14ac:dyDescent="0.25">
      <c r="A41" s="10">
        <v>33</v>
      </c>
      <c r="B41" s="10">
        <f t="shared" ref="B41:B72" si="5">ROUNDUP(A41/4,0)</f>
        <v>9</v>
      </c>
      <c r="C41" s="10" t="str">
        <f>IF(A41&gt;Assumptions!$B$14,"Closed",IF(A41&lt;=Assumptions!$B$12,"Moratorium","Repayment"))</f>
        <v>Repayment</v>
      </c>
      <c r="D41" s="11">
        <f t="shared" si="4"/>
        <v>109.2538775510202</v>
      </c>
      <c r="E41" s="11">
        <f>IF(B41&gt;25,0,INDEX(Assumptions!$B$22:$B$46,B41))</f>
        <v>60</v>
      </c>
      <c r="F41" s="11">
        <f t="shared" ref="F41:F72" si="6">E41/4</f>
        <v>15</v>
      </c>
      <c r="G41" s="11">
        <f>D41*Assumptions!$B$16</f>
        <v>2.3626151020408117</v>
      </c>
      <c r="H41" s="11">
        <f>IF(OR(A41&lt;=Assumptions!$B$12,A41&gt;Assumptions!$B$14),0,MIN($E$6,D41))</f>
        <v>5.7502040816326527</v>
      </c>
      <c r="I41" s="11">
        <f>IF(A41&gt;Assumptions!$B$14,0,MIN(SUMPRODUCT((Assumptions!$B$53:$B$57=A41)*Assumptions!$C$53:$C$57)*Assumptions!$B$50,D41-H41))</f>
        <v>0</v>
      </c>
      <c r="J41" s="11">
        <f t="shared" ref="J41:J72" si="7">H41+I41</f>
        <v>5.7502040816326527</v>
      </c>
      <c r="K41" s="11">
        <f t="shared" ref="K41:K72" si="8">D41-J41</f>
        <v>103.50367346938754</v>
      </c>
      <c r="L41" s="12">
        <f>IF(OR(A41&gt;Assumptions!$B$14,(G41+H41)=0),"",F41/(G41+H41))</f>
        <v>1.8489257137872064</v>
      </c>
      <c r="M41" s="10" t="str">
        <f>IF(A41&gt;Assumptions!$B$14,"Closed",IF(A41&lt;=Assumptions!$B$12,"Moratorium",IF(D41=0,"Closed (Repaid Early)",IF(L41&lt;Assumptions!$B$11-0.005,"BREACH","PASS"))))</f>
        <v>PASS</v>
      </c>
      <c r="N41" s="2"/>
    </row>
    <row r="42" spans="1:14" ht="15" customHeight="1" x14ac:dyDescent="0.25">
      <c r="A42" s="13">
        <v>34</v>
      </c>
      <c r="B42" s="13">
        <f t="shared" si="5"/>
        <v>9</v>
      </c>
      <c r="C42" s="13" t="str">
        <f>IF(A42&gt;Assumptions!$B$14,"Closed",IF(A42&lt;=Assumptions!$B$12,"Moratorium","Repayment"))</f>
        <v>Repayment</v>
      </c>
      <c r="D42" s="14">
        <f t="shared" ref="D42:D73" si="9">K41</f>
        <v>103.50367346938754</v>
      </c>
      <c r="E42" s="14">
        <f>IF(B42&gt;25,0,INDEX(Assumptions!$B$22:$B$46,B42))</f>
        <v>60</v>
      </c>
      <c r="F42" s="14">
        <f t="shared" si="6"/>
        <v>15</v>
      </c>
      <c r="G42" s="14">
        <f>D42*Assumptions!$B$16</f>
        <v>2.2382669387755052</v>
      </c>
      <c r="H42" s="14">
        <f>IF(OR(A42&lt;=Assumptions!$B$12,A42&gt;Assumptions!$B$14),0,MIN($E$6,D42))</f>
        <v>5.7502040816326527</v>
      </c>
      <c r="I42" s="14">
        <f>IF(A42&gt;Assumptions!$B$14,0,MIN(SUMPRODUCT((Assumptions!$B$53:$B$57=A42)*Assumptions!$C$53:$C$57)*Assumptions!$B$50,D42-H42))</f>
        <v>0</v>
      </c>
      <c r="J42" s="14">
        <f t="shared" si="7"/>
        <v>5.7502040816326527</v>
      </c>
      <c r="K42" s="14">
        <f t="shared" si="8"/>
        <v>97.753469387754876</v>
      </c>
      <c r="L42" s="15">
        <f>IF(OR(A42&gt;Assumptions!$B$14,(G42+H42)=0),"",F42/(G42+H42))</f>
        <v>1.8777060042753464</v>
      </c>
      <c r="M42" s="13" t="str">
        <f>IF(A42&gt;Assumptions!$B$14,"Closed",IF(A42&lt;=Assumptions!$B$12,"Moratorium",IF(D42=0,"Closed (Repaid Early)",IF(L42&lt;Assumptions!$B$11-0.005,"BREACH","PASS"))))</f>
        <v>PASS</v>
      </c>
      <c r="N42" s="2"/>
    </row>
    <row r="43" spans="1:14" ht="15" customHeight="1" x14ac:dyDescent="0.25">
      <c r="A43" s="10">
        <v>35</v>
      </c>
      <c r="B43" s="10">
        <f t="shared" si="5"/>
        <v>9</v>
      </c>
      <c r="C43" s="10" t="str">
        <f>IF(A43&gt;Assumptions!$B$14,"Closed",IF(A43&lt;=Assumptions!$B$12,"Moratorium","Repayment"))</f>
        <v>Repayment</v>
      </c>
      <c r="D43" s="11">
        <f t="shared" si="9"/>
        <v>97.753469387754876</v>
      </c>
      <c r="E43" s="11">
        <f>IF(B43&gt;25,0,INDEX(Assumptions!$B$22:$B$46,B43))</f>
        <v>60</v>
      </c>
      <c r="F43" s="11">
        <f t="shared" si="6"/>
        <v>15</v>
      </c>
      <c r="G43" s="11">
        <f>D43*Assumptions!$B$16</f>
        <v>2.1139187755101991</v>
      </c>
      <c r="H43" s="11">
        <f>IF(OR(A43&lt;=Assumptions!$B$12,A43&gt;Assumptions!$B$14),0,MIN($E$6,D43))</f>
        <v>5.7502040816326527</v>
      </c>
      <c r="I43" s="11">
        <f>IF(A43&gt;Assumptions!$B$14,0,MIN(SUMPRODUCT((Assumptions!$B$53:$B$57=A43)*Assumptions!$C$53:$C$57)*Assumptions!$B$50,D43-H43))</f>
        <v>0</v>
      </c>
      <c r="J43" s="11">
        <f t="shared" si="7"/>
        <v>5.7502040816326527</v>
      </c>
      <c r="K43" s="11">
        <f t="shared" si="8"/>
        <v>92.003265306122216</v>
      </c>
      <c r="L43" s="12">
        <f>IF(OR(A43&gt;Assumptions!$B$14,(G43+H43)=0),"",F43/(G43+H43))</f>
        <v>1.9073964474468694</v>
      </c>
      <c r="M43" s="10" t="str">
        <f>IF(A43&gt;Assumptions!$B$14,"Closed",IF(A43&lt;=Assumptions!$B$12,"Moratorium",IF(D43=0,"Closed (Repaid Early)",IF(L43&lt;Assumptions!$B$11-0.005,"BREACH","PASS"))))</f>
        <v>PASS</v>
      </c>
      <c r="N43" s="2"/>
    </row>
    <row r="44" spans="1:14" ht="15" customHeight="1" x14ac:dyDescent="0.25">
      <c r="A44" s="13">
        <v>36</v>
      </c>
      <c r="B44" s="13">
        <f t="shared" si="5"/>
        <v>9</v>
      </c>
      <c r="C44" s="13" t="str">
        <f>IF(A44&gt;Assumptions!$B$14,"Closed",IF(A44&lt;=Assumptions!$B$12,"Moratorium","Repayment"))</f>
        <v>Repayment</v>
      </c>
      <c r="D44" s="14">
        <f t="shared" si="9"/>
        <v>92.003265306122216</v>
      </c>
      <c r="E44" s="14">
        <f>IF(B44&gt;25,0,INDEX(Assumptions!$B$22:$B$46,B44))</f>
        <v>60</v>
      </c>
      <c r="F44" s="14">
        <f t="shared" si="6"/>
        <v>15</v>
      </c>
      <c r="G44" s="14">
        <f>D44*Assumptions!$B$16</f>
        <v>1.9895706122448928</v>
      </c>
      <c r="H44" s="14">
        <f>IF(OR(A44&lt;=Assumptions!$B$12,A44&gt;Assumptions!$B$14),0,MIN($E$6,D44))</f>
        <v>5.7502040816326527</v>
      </c>
      <c r="I44" s="14">
        <f>IF(A44&gt;Assumptions!$B$14,0,MIN(SUMPRODUCT((Assumptions!$B$53:$B$57=A44)*Assumptions!$C$53:$C$57)*Assumptions!$B$50,D44-H44))</f>
        <v>0</v>
      </c>
      <c r="J44" s="14">
        <f t="shared" si="7"/>
        <v>5.7502040816326527</v>
      </c>
      <c r="K44" s="14">
        <f t="shared" si="8"/>
        <v>86.253061224489556</v>
      </c>
      <c r="L44" s="15">
        <f>IF(OR(A44&gt;Assumptions!$B$14,(G44+H44)=0),"",F44/(G44+H44))</f>
        <v>1.9380409111734955</v>
      </c>
      <c r="M44" s="13" t="str">
        <f>IF(A44&gt;Assumptions!$B$14,"Closed",IF(A44&lt;=Assumptions!$B$12,"Moratorium",IF(D44=0,"Closed (Repaid Early)",IF(L44&lt;Assumptions!$B$11-0.005,"BREACH","PASS"))))</f>
        <v>PASS</v>
      </c>
      <c r="N44" s="2"/>
    </row>
    <row r="45" spans="1:14" ht="15" customHeight="1" x14ac:dyDescent="0.25">
      <c r="A45" s="10">
        <v>37</v>
      </c>
      <c r="B45" s="10">
        <f t="shared" si="5"/>
        <v>10</v>
      </c>
      <c r="C45" s="10" t="str">
        <f>IF(A45&gt;Assumptions!$B$14,"Closed",IF(A45&lt;=Assumptions!$B$12,"Moratorium","Repayment"))</f>
        <v>Repayment</v>
      </c>
      <c r="D45" s="11">
        <f t="shared" si="9"/>
        <v>86.253061224489556</v>
      </c>
      <c r="E45" s="11">
        <f>IF(B45&gt;25,0,INDEX(Assumptions!$B$22:$B$46,B45))</f>
        <v>60</v>
      </c>
      <c r="F45" s="11">
        <f t="shared" si="6"/>
        <v>15</v>
      </c>
      <c r="G45" s="11">
        <f>D45*Assumptions!$B$16</f>
        <v>1.8652224489795866</v>
      </c>
      <c r="H45" s="11">
        <f>IF(OR(A45&lt;=Assumptions!$B$12,A45&gt;Assumptions!$B$14),0,MIN($E$6,D45))</f>
        <v>5.7502040816326527</v>
      </c>
      <c r="I45" s="11">
        <f>IF(A45&gt;Assumptions!$B$14,0,MIN(SUMPRODUCT((Assumptions!$B$53:$B$57=A45)*Assumptions!$C$53:$C$57)*Assumptions!$B$50,D45-H45))</f>
        <v>0</v>
      </c>
      <c r="J45" s="11">
        <f t="shared" si="7"/>
        <v>5.7502040816326527</v>
      </c>
      <c r="K45" s="11">
        <f t="shared" si="8"/>
        <v>80.502857142856897</v>
      </c>
      <c r="L45" s="12">
        <f>IF(OR(A45&gt;Assumptions!$B$14,(G45+H45)=0),"",F45/(G45+H45))</f>
        <v>1.9696861285055403</v>
      </c>
      <c r="M45" s="10" t="str">
        <f>IF(A45&gt;Assumptions!$B$14,"Closed",IF(A45&lt;=Assumptions!$B$12,"Moratorium",IF(D45=0,"Closed (Repaid Early)",IF(L45&lt;Assumptions!$B$11-0.005,"BREACH","PASS"))))</f>
        <v>PASS</v>
      </c>
      <c r="N45" s="2"/>
    </row>
    <row r="46" spans="1:14" ht="15" customHeight="1" x14ac:dyDescent="0.25">
      <c r="A46" s="13">
        <v>38</v>
      </c>
      <c r="B46" s="13">
        <f t="shared" si="5"/>
        <v>10</v>
      </c>
      <c r="C46" s="13" t="str">
        <f>IF(A46&gt;Assumptions!$B$14,"Closed",IF(A46&lt;=Assumptions!$B$12,"Moratorium","Repayment"))</f>
        <v>Repayment</v>
      </c>
      <c r="D46" s="14">
        <f t="shared" si="9"/>
        <v>80.502857142856897</v>
      </c>
      <c r="E46" s="14">
        <f>IF(B46&gt;25,0,INDEX(Assumptions!$B$22:$B$46,B46))</f>
        <v>60</v>
      </c>
      <c r="F46" s="14">
        <f t="shared" si="6"/>
        <v>15</v>
      </c>
      <c r="G46" s="14">
        <f>D46*Assumptions!$B$16</f>
        <v>1.7408742857142803</v>
      </c>
      <c r="H46" s="14">
        <f>IF(OR(A46&lt;=Assumptions!$B$12,A46&gt;Assumptions!$B$14),0,MIN($E$6,D46))</f>
        <v>5.7502040816326527</v>
      </c>
      <c r="I46" s="14">
        <f>IF(A46&gt;Assumptions!$B$14,0,MIN(SUMPRODUCT((Assumptions!$B$53:$B$57=A46)*Assumptions!$C$53:$C$57)*Assumptions!$B$50,D46-H46))</f>
        <v>0</v>
      </c>
      <c r="J46" s="14">
        <f t="shared" si="7"/>
        <v>5.7502040816326527</v>
      </c>
      <c r="K46" s="14">
        <f t="shared" si="8"/>
        <v>74.752653061224237</v>
      </c>
      <c r="L46" s="15">
        <f>IF(OR(A46&gt;Assumptions!$B$14,(G46+H46)=0),"",F46/(G46+H46))</f>
        <v>2.0023819354745922</v>
      </c>
      <c r="M46" s="13" t="str">
        <f>IF(A46&gt;Assumptions!$B$14,"Closed",IF(A46&lt;=Assumptions!$B$12,"Moratorium",IF(D46=0,"Closed (Repaid Early)",IF(L46&lt;Assumptions!$B$11-0.005,"BREACH","PASS"))))</f>
        <v>PASS</v>
      </c>
      <c r="N46" s="2"/>
    </row>
    <row r="47" spans="1:14" ht="15" customHeight="1" x14ac:dyDescent="0.25">
      <c r="A47" s="10">
        <v>39</v>
      </c>
      <c r="B47" s="10">
        <f t="shared" si="5"/>
        <v>10</v>
      </c>
      <c r="C47" s="10" t="str">
        <f>IF(A47&gt;Assumptions!$B$14,"Closed",IF(A47&lt;=Assumptions!$B$12,"Moratorium","Repayment"))</f>
        <v>Repayment</v>
      </c>
      <c r="D47" s="11">
        <f t="shared" si="9"/>
        <v>74.752653061224237</v>
      </c>
      <c r="E47" s="11">
        <f>IF(B47&gt;25,0,INDEX(Assumptions!$B$22:$B$46,B47))</f>
        <v>60</v>
      </c>
      <c r="F47" s="11">
        <f t="shared" si="6"/>
        <v>15</v>
      </c>
      <c r="G47" s="11">
        <f>D47*Assumptions!$B$16</f>
        <v>1.616526122448974</v>
      </c>
      <c r="H47" s="11">
        <f>IF(OR(A47&lt;=Assumptions!$B$12,A47&gt;Assumptions!$B$14),0,MIN($E$6,D47))</f>
        <v>5.7502040816326527</v>
      </c>
      <c r="I47" s="11">
        <f>IF(A47&gt;Assumptions!$B$14,0,MIN(SUMPRODUCT((Assumptions!$B$53:$B$57=A47)*Assumptions!$C$53:$C$57)*Assumptions!$B$50,D47-H47))</f>
        <v>0</v>
      </c>
      <c r="J47" s="11">
        <f t="shared" si="7"/>
        <v>5.7502040816326527</v>
      </c>
      <c r="K47" s="11">
        <f t="shared" si="8"/>
        <v>69.002448979591577</v>
      </c>
      <c r="L47" s="12">
        <f>IF(OR(A47&gt;Assumptions!$B$14,(G47+H47)=0),"",F47/(G47+H47))</f>
        <v>2.0361815329804078</v>
      </c>
      <c r="M47" s="10" t="str">
        <f>IF(A47&gt;Assumptions!$B$14,"Closed",IF(A47&lt;=Assumptions!$B$12,"Moratorium",IF(D47=0,"Closed (Repaid Early)",IF(L47&lt;Assumptions!$B$11-0.005,"BREACH","PASS"))))</f>
        <v>PASS</v>
      </c>
      <c r="N47" s="2"/>
    </row>
    <row r="48" spans="1:14" ht="15" customHeight="1" x14ac:dyDescent="0.25">
      <c r="A48" s="13">
        <v>40</v>
      </c>
      <c r="B48" s="13">
        <f t="shared" si="5"/>
        <v>10</v>
      </c>
      <c r="C48" s="13" t="str">
        <f>IF(A48&gt;Assumptions!$B$14,"Closed",IF(A48&lt;=Assumptions!$B$12,"Moratorium","Repayment"))</f>
        <v>Repayment</v>
      </c>
      <c r="D48" s="14">
        <f t="shared" si="9"/>
        <v>69.002448979591577</v>
      </c>
      <c r="E48" s="14">
        <f>IF(B48&gt;25,0,INDEX(Assumptions!$B$22:$B$46,B48))</f>
        <v>60</v>
      </c>
      <c r="F48" s="14">
        <f t="shared" si="6"/>
        <v>15</v>
      </c>
      <c r="G48" s="14">
        <f>D48*Assumptions!$B$16</f>
        <v>1.4921779591836677</v>
      </c>
      <c r="H48" s="14">
        <f>IF(OR(A48&lt;=Assumptions!$B$12,A48&gt;Assumptions!$B$14),0,MIN($E$6,D48))</f>
        <v>5.7502040816326527</v>
      </c>
      <c r="I48" s="14">
        <f>IF(A48&gt;Assumptions!$B$14,0,MIN(SUMPRODUCT((Assumptions!$B$53:$B$57=A48)*Assumptions!$C$53:$C$57)*Assumptions!$B$50,D48-H48))</f>
        <v>0</v>
      </c>
      <c r="J48" s="14">
        <f t="shared" si="7"/>
        <v>5.7502040816326527</v>
      </c>
      <c r="K48" s="14">
        <f t="shared" si="8"/>
        <v>63.252244897958924</v>
      </c>
      <c r="L48" s="15">
        <f>IF(OR(A48&gt;Assumptions!$B$14,(G48+H48)=0),"",F48/(G48+H48))</f>
        <v>2.0711417756566299</v>
      </c>
      <c r="M48" s="13" t="str">
        <f>IF(A48&gt;Assumptions!$B$14,"Closed",IF(A48&lt;=Assumptions!$B$12,"Moratorium",IF(D48=0,"Closed (Repaid Early)",IF(L48&lt;Assumptions!$B$11-0.005,"BREACH","PASS"))))</f>
        <v>PASS</v>
      </c>
      <c r="N48" s="2"/>
    </row>
    <row r="49" spans="1:14" ht="15" customHeight="1" x14ac:dyDescent="0.25">
      <c r="A49" s="10">
        <v>41</v>
      </c>
      <c r="B49" s="10">
        <f t="shared" si="5"/>
        <v>11</v>
      </c>
      <c r="C49" s="10" t="str">
        <f>IF(A49&gt;Assumptions!$B$14,"Closed",IF(A49&lt;=Assumptions!$B$12,"Moratorium","Repayment"))</f>
        <v>Repayment</v>
      </c>
      <c r="D49" s="11">
        <f t="shared" si="9"/>
        <v>63.252244897958924</v>
      </c>
      <c r="E49" s="11">
        <f>IF(B49&gt;25,0,INDEX(Assumptions!$B$22:$B$46,B49))</f>
        <v>60</v>
      </c>
      <c r="F49" s="11">
        <f t="shared" si="6"/>
        <v>15</v>
      </c>
      <c r="G49" s="11">
        <f>D49*Assumptions!$B$16</f>
        <v>1.3678297959183616</v>
      </c>
      <c r="H49" s="11">
        <f>IF(OR(A49&lt;=Assumptions!$B$12,A49&gt;Assumptions!$B$14),0,MIN($E$6,D49))</f>
        <v>5.7502040816326527</v>
      </c>
      <c r="I49" s="11">
        <f>IF(A49&gt;Assumptions!$B$14,0,MIN(SUMPRODUCT((Assumptions!$B$53:$B$57=A49)*Assumptions!$C$53:$C$57)*Assumptions!$B$50,D49-H49))</f>
        <v>0</v>
      </c>
      <c r="J49" s="11">
        <f t="shared" si="7"/>
        <v>5.7502040816326527</v>
      </c>
      <c r="K49" s="11">
        <f t="shared" si="8"/>
        <v>57.502040816326272</v>
      </c>
      <c r="L49" s="12">
        <f>IF(OR(A49&gt;Assumptions!$B$14,(G49+H49)=0),"",F49/(G49+H49))</f>
        <v>2.1073234910144603</v>
      </c>
      <c r="M49" s="10" t="str">
        <f>IF(A49&gt;Assumptions!$B$14,"Closed",IF(A49&lt;=Assumptions!$B$12,"Moratorium",IF(D49=0,"Closed (Repaid Early)",IF(L49&lt;Assumptions!$B$11-0.005,"BREACH","PASS"))))</f>
        <v>PASS</v>
      </c>
      <c r="N49" s="2"/>
    </row>
    <row r="50" spans="1:14" ht="15" customHeight="1" x14ac:dyDescent="0.25">
      <c r="A50" s="13">
        <v>42</v>
      </c>
      <c r="B50" s="13">
        <f t="shared" si="5"/>
        <v>11</v>
      </c>
      <c r="C50" s="13" t="str">
        <f>IF(A50&gt;Assumptions!$B$14,"Closed",IF(A50&lt;=Assumptions!$B$12,"Moratorium","Repayment"))</f>
        <v>Repayment</v>
      </c>
      <c r="D50" s="14">
        <f t="shared" si="9"/>
        <v>57.502040816326272</v>
      </c>
      <c r="E50" s="14">
        <f>IF(B50&gt;25,0,INDEX(Assumptions!$B$22:$B$46,B50))</f>
        <v>60</v>
      </c>
      <c r="F50" s="14">
        <f t="shared" si="6"/>
        <v>15</v>
      </c>
      <c r="G50" s="14">
        <f>D50*Assumptions!$B$16</f>
        <v>1.2434816326530556</v>
      </c>
      <c r="H50" s="14">
        <f>IF(OR(A50&lt;=Assumptions!$B$12,A50&gt;Assumptions!$B$14),0,MIN($E$6,D50))</f>
        <v>5.7502040816326527</v>
      </c>
      <c r="I50" s="14">
        <f>IF(A50&gt;Assumptions!$B$14,0,MIN(SUMPRODUCT((Assumptions!$B$53:$B$57=A50)*Assumptions!$C$53:$C$57)*Assumptions!$B$50,D50-H50))</f>
        <v>0</v>
      </c>
      <c r="J50" s="14">
        <f t="shared" si="7"/>
        <v>5.7502040816326527</v>
      </c>
      <c r="K50" s="14">
        <f t="shared" si="8"/>
        <v>51.751836734693619</v>
      </c>
      <c r="L50" s="15">
        <f>IF(OR(A50&gt;Assumptions!$B$14,(G50+H50)=0),"",F50/(G50+H50))</f>
        <v>2.1447918326327033</v>
      </c>
      <c r="M50" s="13" t="str">
        <f>IF(A50&gt;Assumptions!$B$14,"Closed",IF(A50&lt;=Assumptions!$B$12,"Moratorium",IF(D50=0,"Closed (Repaid Early)",IF(L50&lt;Assumptions!$B$11-0.005,"BREACH","PASS"))))</f>
        <v>PASS</v>
      </c>
      <c r="N50" s="2"/>
    </row>
    <row r="51" spans="1:14" ht="15" customHeight="1" x14ac:dyDescent="0.25">
      <c r="A51" s="10">
        <v>43</v>
      </c>
      <c r="B51" s="10">
        <f t="shared" si="5"/>
        <v>11</v>
      </c>
      <c r="C51" s="10" t="str">
        <f>IF(A51&gt;Assumptions!$B$14,"Closed",IF(A51&lt;=Assumptions!$B$12,"Moratorium","Repayment"))</f>
        <v>Repayment</v>
      </c>
      <c r="D51" s="11">
        <f t="shared" si="9"/>
        <v>51.751836734693619</v>
      </c>
      <c r="E51" s="11">
        <f>IF(B51&gt;25,0,INDEX(Assumptions!$B$22:$B$46,B51))</f>
        <v>60</v>
      </c>
      <c r="F51" s="11">
        <f t="shared" si="6"/>
        <v>15</v>
      </c>
      <c r="G51" s="11">
        <f>D51*Assumptions!$B$16</f>
        <v>1.1191334693877495</v>
      </c>
      <c r="H51" s="11">
        <f>IF(OR(A51&lt;=Assumptions!$B$12,A51&gt;Assumptions!$B$14),0,MIN($E$6,D51))</f>
        <v>5.7502040816326527</v>
      </c>
      <c r="I51" s="11">
        <f>IF(A51&gt;Assumptions!$B$14,0,MIN(SUMPRODUCT((Assumptions!$B$53:$B$57=A51)*Assumptions!$C$53:$C$57)*Assumptions!$B$50,D51-H51))</f>
        <v>0</v>
      </c>
      <c r="J51" s="11">
        <f t="shared" si="7"/>
        <v>5.7502040816326527</v>
      </c>
      <c r="K51" s="11">
        <f t="shared" si="8"/>
        <v>46.001632653060966</v>
      </c>
      <c r="L51" s="12">
        <f>IF(OR(A51&gt;Assumptions!$B$14,(G51+H51)=0),"",F51/(G51+H51))</f>
        <v>2.1836166717082977</v>
      </c>
      <c r="M51" s="10" t="str">
        <f>IF(A51&gt;Assumptions!$B$14,"Closed",IF(A51&lt;=Assumptions!$B$12,"Moratorium",IF(D51=0,"Closed (Repaid Early)",IF(L51&lt;Assumptions!$B$11-0.005,"BREACH","PASS"))))</f>
        <v>PASS</v>
      </c>
      <c r="N51" s="2"/>
    </row>
    <row r="52" spans="1:14" ht="15" customHeight="1" x14ac:dyDescent="0.25">
      <c r="A52" s="13">
        <v>44</v>
      </c>
      <c r="B52" s="13">
        <f t="shared" si="5"/>
        <v>11</v>
      </c>
      <c r="C52" s="13" t="str">
        <f>IF(A52&gt;Assumptions!$B$14,"Closed",IF(A52&lt;=Assumptions!$B$12,"Moratorium","Repayment"))</f>
        <v>Repayment</v>
      </c>
      <c r="D52" s="14">
        <f t="shared" si="9"/>
        <v>46.001632653060966</v>
      </c>
      <c r="E52" s="14">
        <f>IF(B52&gt;25,0,INDEX(Assumptions!$B$22:$B$46,B52))</f>
        <v>60</v>
      </c>
      <c r="F52" s="14">
        <f t="shared" si="6"/>
        <v>15</v>
      </c>
      <c r="G52" s="14">
        <f>D52*Assumptions!$B$16</f>
        <v>0.99478530612244331</v>
      </c>
      <c r="H52" s="14">
        <f>IF(OR(A52&lt;=Assumptions!$B$12,A52&gt;Assumptions!$B$14),0,MIN($E$6,D52))</f>
        <v>5.7502040816326527</v>
      </c>
      <c r="I52" s="14">
        <f>IF(A52&gt;Assumptions!$B$14,0,MIN(SUMPRODUCT((Assumptions!$B$53:$B$57=A52)*Assumptions!$C$53:$C$57)*Assumptions!$B$50,D52-H52))</f>
        <v>0</v>
      </c>
      <c r="J52" s="14">
        <f t="shared" si="7"/>
        <v>5.7502040816326527</v>
      </c>
      <c r="K52" s="14">
        <f t="shared" si="8"/>
        <v>40.251428571428313</v>
      </c>
      <c r="L52" s="15">
        <f>IF(OR(A52&gt;Assumptions!$B$14,(G52+H52)=0),"",F52/(G52+H52))</f>
        <v>2.223873031917754</v>
      </c>
      <c r="M52" s="13" t="str">
        <f>IF(A52&gt;Assumptions!$B$14,"Closed",IF(A52&lt;=Assumptions!$B$12,"Moratorium",IF(D52=0,"Closed (Repaid Early)",IF(L52&lt;Assumptions!$B$11-0.005,"BREACH","PASS"))))</f>
        <v>PASS</v>
      </c>
      <c r="N52" s="2"/>
    </row>
    <row r="53" spans="1:14" ht="15" customHeight="1" x14ac:dyDescent="0.25">
      <c r="A53" s="10">
        <v>45</v>
      </c>
      <c r="B53" s="10">
        <f t="shared" si="5"/>
        <v>12</v>
      </c>
      <c r="C53" s="10" t="str">
        <f>IF(A53&gt;Assumptions!$B$14,"Closed",IF(A53&lt;=Assumptions!$B$12,"Moratorium","Repayment"))</f>
        <v>Repayment</v>
      </c>
      <c r="D53" s="11">
        <f t="shared" si="9"/>
        <v>40.251428571428313</v>
      </c>
      <c r="E53" s="11">
        <f>IF(B53&gt;25,0,INDEX(Assumptions!$B$22:$B$46,B53))</f>
        <v>60</v>
      </c>
      <c r="F53" s="11">
        <f t="shared" si="6"/>
        <v>15</v>
      </c>
      <c r="G53" s="11">
        <f>D53*Assumptions!$B$16</f>
        <v>0.87043714285713725</v>
      </c>
      <c r="H53" s="11">
        <f>IF(OR(A53&lt;=Assumptions!$B$12,A53&gt;Assumptions!$B$14),0,MIN($E$6,D53))</f>
        <v>5.7502040816326527</v>
      </c>
      <c r="I53" s="11">
        <f>IF(A53&gt;Assumptions!$B$14,0,MIN(SUMPRODUCT((Assumptions!$B$53:$B$57=A53)*Assumptions!$C$53:$C$57)*Assumptions!$B$50,D53-H53))</f>
        <v>0</v>
      </c>
      <c r="J53" s="11">
        <f t="shared" si="7"/>
        <v>5.7502040816326527</v>
      </c>
      <c r="K53" s="11">
        <f t="shared" si="8"/>
        <v>34.501224489795661</v>
      </c>
      <c r="L53" s="12">
        <f>IF(OR(A53&gt;Assumptions!$B$14,(G53+H53)=0),"",F53/(G53+H53))</f>
        <v>2.2656415732837045</v>
      </c>
      <c r="M53" s="10" t="str">
        <f>IF(A53&gt;Assumptions!$B$14,"Closed",IF(A53&lt;=Assumptions!$B$12,"Moratorium",IF(D53=0,"Closed (Repaid Early)",IF(L53&lt;Assumptions!$B$11-0.005,"BREACH","PASS"))))</f>
        <v>PASS</v>
      </c>
      <c r="N53" s="2"/>
    </row>
    <row r="54" spans="1:14" ht="15" customHeight="1" x14ac:dyDescent="0.25">
      <c r="A54" s="13">
        <v>46</v>
      </c>
      <c r="B54" s="13">
        <f t="shared" si="5"/>
        <v>12</v>
      </c>
      <c r="C54" s="13" t="str">
        <f>IF(A54&gt;Assumptions!$B$14,"Closed",IF(A54&lt;=Assumptions!$B$12,"Moratorium","Repayment"))</f>
        <v>Repayment</v>
      </c>
      <c r="D54" s="14">
        <f t="shared" si="9"/>
        <v>34.501224489795661</v>
      </c>
      <c r="E54" s="14">
        <f>IF(B54&gt;25,0,INDEX(Assumptions!$B$22:$B$46,B54))</f>
        <v>60</v>
      </c>
      <c r="F54" s="14">
        <f t="shared" si="6"/>
        <v>15</v>
      </c>
      <c r="G54" s="14">
        <f>D54*Assumptions!$B$16</f>
        <v>0.74608897959183107</v>
      </c>
      <c r="H54" s="14">
        <f>IF(OR(A54&lt;=Assumptions!$B$12,A54&gt;Assumptions!$B$14),0,MIN($E$6,D54))</f>
        <v>5.7502040816326527</v>
      </c>
      <c r="I54" s="14">
        <f>IF(A54&gt;Assumptions!$B$14,0,MIN(SUMPRODUCT((Assumptions!$B$53:$B$57=A54)*Assumptions!$C$53:$C$57)*Assumptions!$B$50,D54-H54))</f>
        <v>0</v>
      </c>
      <c r="J54" s="14">
        <f t="shared" si="7"/>
        <v>5.7502040816326527</v>
      </c>
      <c r="K54" s="14">
        <f t="shared" si="8"/>
        <v>28.751020408163008</v>
      </c>
      <c r="L54" s="15">
        <f>IF(OR(A54&gt;Assumptions!$B$14,(G54+H54)=0),"",F54/(G54+H54))</f>
        <v>2.3090091316127688</v>
      </c>
      <c r="M54" s="13" t="str">
        <f>IF(A54&gt;Assumptions!$B$14,"Closed",IF(A54&lt;=Assumptions!$B$12,"Moratorium",IF(D54=0,"Closed (Repaid Early)",IF(L54&lt;Assumptions!$B$11-0.005,"BREACH","PASS"))))</f>
        <v>PASS</v>
      </c>
      <c r="N54" s="2"/>
    </row>
    <row r="55" spans="1:14" ht="15" customHeight="1" x14ac:dyDescent="0.25">
      <c r="A55" s="10">
        <v>47</v>
      </c>
      <c r="B55" s="10">
        <f t="shared" si="5"/>
        <v>12</v>
      </c>
      <c r="C55" s="10" t="str">
        <f>IF(A55&gt;Assumptions!$B$14,"Closed",IF(A55&lt;=Assumptions!$B$12,"Moratorium","Repayment"))</f>
        <v>Repayment</v>
      </c>
      <c r="D55" s="11">
        <f t="shared" si="9"/>
        <v>28.751020408163008</v>
      </c>
      <c r="E55" s="11">
        <f>IF(B55&gt;25,0,INDEX(Assumptions!$B$22:$B$46,B55))</f>
        <v>60</v>
      </c>
      <c r="F55" s="11">
        <f t="shared" si="6"/>
        <v>15</v>
      </c>
      <c r="G55" s="11">
        <f>D55*Assumptions!$B$16</f>
        <v>0.621740816326525</v>
      </c>
      <c r="H55" s="11">
        <f>IF(OR(A55&lt;=Assumptions!$B$12,A55&gt;Assumptions!$B$14),0,MIN($E$6,D55))</f>
        <v>5.7502040816326527</v>
      </c>
      <c r="I55" s="11">
        <f>IF(A55&gt;Assumptions!$B$14,0,MIN(SUMPRODUCT((Assumptions!$B$53:$B$57=A55)*Assumptions!$C$53:$C$57)*Assumptions!$B$50,D55-H55))</f>
        <v>0</v>
      </c>
      <c r="J55" s="11">
        <f t="shared" si="7"/>
        <v>5.7502040816326527</v>
      </c>
      <c r="K55" s="11">
        <f t="shared" si="8"/>
        <v>23.000816326530355</v>
      </c>
      <c r="L55" s="12">
        <f>IF(OR(A55&gt;Assumptions!$B$14,(G55+H55)=0),"",F55/(G55+H55))</f>
        <v>2.3540693210960182</v>
      </c>
      <c r="M55" s="10" t="str">
        <f>IF(A55&gt;Assumptions!$B$14,"Closed",IF(A55&lt;=Assumptions!$B$12,"Moratorium",IF(D55=0,"Closed (Repaid Early)",IF(L55&lt;Assumptions!$B$11-0.005,"BREACH","PASS"))))</f>
        <v>PASS</v>
      </c>
      <c r="N55" s="2"/>
    </row>
    <row r="56" spans="1:14" ht="15" customHeight="1" x14ac:dyDescent="0.25">
      <c r="A56" s="13">
        <v>48</v>
      </c>
      <c r="B56" s="13">
        <f t="shared" si="5"/>
        <v>12</v>
      </c>
      <c r="C56" s="13" t="str">
        <f>IF(A56&gt;Assumptions!$B$14,"Closed",IF(A56&lt;=Assumptions!$B$12,"Moratorium","Repayment"))</f>
        <v>Repayment</v>
      </c>
      <c r="D56" s="14">
        <f t="shared" si="9"/>
        <v>23.000816326530355</v>
      </c>
      <c r="E56" s="14">
        <f>IF(B56&gt;25,0,INDEX(Assumptions!$B$22:$B$46,B56))</f>
        <v>60</v>
      </c>
      <c r="F56" s="14">
        <f t="shared" si="6"/>
        <v>15</v>
      </c>
      <c r="G56" s="14">
        <f>D56*Assumptions!$B$16</f>
        <v>0.49739265306121888</v>
      </c>
      <c r="H56" s="14">
        <f>IF(OR(A56&lt;=Assumptions!$B$12,A56&gt;Assumptions!$B$14),0,MIN($E$6,D56))</f>
        <v>5.7502040816326527</v>
      </c>
      <c r="I56" s="14">
        <f>IF(A56&gt;Assumptions!$B$14,0,MIN(SUMPRODUCT((Assumptions!$B$53:$B$57=A56)*Assumptions!$C$53:$C$57)*Assumptions!$B$50,D56-H56))</f>
        <v>0</v>
      </c>
      <c r="J56" s="14">
        <f t="shared" si="7"/>
        <v>5.7502040816326527</v>
      </c>
      <c r="K56" s="14">
        <f t="shared" si="8"/>
        <v>17.250612244897702</v>
      </c>
      <c r="L56" s="15">
        <f>IF(OR(A56&gt;Assumptions!$B$14,(G56+H56)=0),"",F56/(G56+H56))</f>
        <v>2.4009232088720895</v>
      </c>
      <c r="M56" s="13" t="str">
        <f>IF(A56&gt;Assumptions!$B$14,"Closed",IF(A56&lt;=Assumptions!$B$12,"Moratorium",IF(D56=0,"Closed (Repaid Early)",IF(L56&lt;Assumptions!$B$11-0.005,"BREACH","PASS"))))</f>
        <v>PASS</v>
      </c>
      <c r="N56" s="2"/>
    </row>
    <row r="57" spans="1:14" ht="15" customHeight="1" x14ac:dyDescent="0.25">
      <c r="A57" s="10">
        <v>49</v>
      </c>
      <c r="B57" s="10">
        <f t="shared" si="5"/>
        <v>13</v>
      </c>
      <c r="C57" s="10" t="str">
        <f>IF(A57&gt;Assumptions!$B$14,"Closed",IF(A57&lt;=Assumptions!$B$12,"Moratorium","Repayment"))</f>
        <v>Repayment</v>
      </c>
      <c r="D57" s="11">
        <f t="shared" si="9"/>
        <v>17.250612244897702</v>
      </c>
      <c r="E57" s="11">
        <f>IF(B57&gt;25,0,INDEX(Assumptions!$B$22:$B$46,B57))</f>
        <v>60</v>
      </c>
      <c r="F57" s="11">
        <f t="shared" si="6"/>
        <v>15</v>
      </c>
      <c r="G57" s="11">
        <f>D57*Assumptions!$B$16</f>
        <v>0.37304448979591276</v>
      </c>
      <c r="H57" s="11">
        <f>IF(OR(A57&lt;=Assumptions!$B$12,A57&gt;Assumptions!$B$14),0,MIN($E$6,D57))</f>
        <v>5.7502040816326527</v>
      </c>
      <c r="I57" s="11">
        <f>IF(A57&gt;Assumptions!$B$14,0,MIN(SUMPRODUCT((Assumptions!$B$53:$B$57=A57)*Assumptions!$C$53:$C$57)*Assumptions!$B$50,D57-H57))</f>
        <v>0</v>
      </c>
      <c r="J57" s="11">
        <f t="shared" si="7"/>
        <v>5.7502040816326527</v>
      </c>
      <c r="K57" s="11">
        <f t="shared" si="8"/>
        <v>11.50040816326505</v>
      </c>
      <c r="L57" s="12">
        <f>IF(OR(A57&gt;Assumptions!$B$14,(G57+H57)=0),"",F57/(G57+H57))</f>
        <v>2.4496800717826277</v>
      </c>
      <c r="M57" s="10" t="str">
        <f>IF(A57&gt;Assumptions!$B$14,"Closed",IF(A57&lt;=Assumptions!$B$12,"Moratorium",IF(D57=0,"Closed (Repaid Early)",IF(L57&lt;Assumptions!$B$11-0.005,"BREACH","PASS"))))</f>
        <v>PASS</v>
      </c>
      <c r="N57" s="2"/>
    </row>
    <row r="58" spans="1:14" ht="15" customHeight="1" x14ac:dyDescent="0.25">
      <c r="A58" s="13">
        <v>50</v>
      </c>
      <c r="B58" s="13">
        <f t="shared" si="5"/>
        <v>13</v>
      </c>
      <c r="C58" s="13" t="str">
        <f>IF(A58&gt;Assumptions!$B$14,"Closed",IF(A58&lt;=Assumptions!$B$12,"Moratorium","Repayment"))</f>
        <v>Repayment</v>
      </c>
      <c r="D58" s="14">
        <f t="shared" si="9"/>
        <v>11.50040816326505</v>
      </c>
      <c r="E58" s="14">
        <f>IF(B58&gt;25,0,INDEX(Assumptions!$B$22:$B$46,B58))</f>
        <v>60</v>
      </c>
      <c r="F58" s="14">
        <f t="shared" si="6"/>
        <v>15</v>
      </c>
      <c r="G58" s="14">
        <f>D58*Assumptions!$B$16</f>
        <v>0.24869632653060669</v>
      </c>
      <c r="H58" s="14">
        <f>IF(OR(A58&lt;=Assumptions!$B$12,A58&gt;Assumptions!$B$14),0,MIN($E$6,D58))</f>
        <v>5.7502040816326527</v>
      </c>
      <c r="I58" s="14">
        <f>IF(A58&gt;Assumptions!$B$14,0,MIN(SUMPRODUCT((Assumptions!$B$53:$B$57=A58)*Assumptions!$C$53:$C$57)*Assumptions!$B$50,D58-H58))</f>
        <v>0</v>
      </c>
      <c r="J58" s="14">
        <f t="shared" si="7"/>
        <v>5.7502040816326527</v>
      </c>
      <c r="K58" s="14">
        <f t="shared" si="8"/>
        <v>5.7502040816323969</v>
      </c>
      <c r="L58" s="15">
        <f>IF(OR(A58&gt;Assumptions!$B$14,(G58+H58)=0),"",F58/(G58+H58))</f>
        <v>2.5004582472461303</v>
      </c>
      <c r="M58" s="13" t="str">
        <f>IF(A58&gt;Assumptions!$B$14,"Closed",IF(A58&lt;=Assumptions!$B$12,"Moratorium",IF(D58=0,"Closed (Repaid Early)",IF(L58&lt;Assumptions!$B$11-0.005,"BREACH","PASS"))))</f>
        <v>PASS</v>
      </c>
      <c r="N58" s="2"/>
    </row>
    <row r="59" spans="1:14" ht="15" customHeight="1" x14ac:dyDescent="0.25">
      <c r="A59" s="10">
        <v>51</v>
      </c>
      <c r="B59" s="10">
        <f t="shared" si="5"/>
        <v>13</v>
      </c>
      <c r="C59" s="10" t="str">
        <f>IF(A59&gt;Assumptions!$B$14,"Closed",IF(A59&lt;=Assumptions!$B$12,"Moratorium","Repayment"))</f>
        <v>Repayment</v>
      </c>
      <c r="D59" s="11">
        <f t="shared" si="9"/>
        <v>5.7502040816323969</v>
      </c>
      <c r="E59" s="11">
        <f>IF(B59&gt;25,0,INDEX(Assumptions!$B$22:$B$46,B59))</f>
        <v>60</v>
      </c>
      <c r="F59" s="11">
        <f t="shared" si="6"/>
        <v>15</v>
      </c>
      <c r="G59" s="11">
        <f>D59*Assumptions!$B$16</f>
        <v>0.12434816326530057</v>
      </c>
      <c r="H59" s="11">
        <f>IF(OR(A59&lt;=Assumptions!$B$12,A59&gt;Assumptions!$B$14),0,MIN($E$6,D59))</f>
        <v>5.7502040816323969</v>
      </c>
      <c r="I59" s="11">
        <f>IF(A59&gt;Assumptions!$B$14,0,MIN(SUMPRODUCT((Assumptions!$B$53:$B$57=A59)*Assumptions!$C$53:$C$57)*Assumptions!$B$50,D59-H59))</f>
        <v>0</v>
      </c>
      <c r="J59" s="11">
        <f t="shared" si="7"/>
        <v>5.7502040816323969</v>
      </c>
      <c r="K59" s="11">
        <f t="shared" si="8"/>
        <v>0</v>
      </c>
      <c r="L59" s="12">
        <f>IF(OR(A59&gt;Assumptions!$B$14,(G59+H59)=0),"",F59/(G59+H59))</f>
        <v>2.5533860921959031</v>
      </c>
      <c r="M59" s="10" t="str">
        <f>IF(A59&gt;Assumptions!$B$14,"Closed",IF(A59&lt;=Assumptions!$B$12,"Moratorium",IF(D59=0,"Closed (Repaid Early)",IF(L59&lt;Assumptions!$B$11-0.005,"BREACH","PASS"))))</f>
        <v>PASS</v>
      </c>
      <c r="N59" s="2"/>
    </row>
    <row r="60" spans="1:14" ht="15" customHeight="1" x14ac:dyDescent="0.25">
      <c r="A60" s="13">
        <v>52</v>
      </c>
      <c r="B60" s="13">
        <f t="shared" si="5"/>
        <v>13</v>
      </c>
      <c r="C60" s="13" t="str">
        <f>IF(A60&gt;Assumptions!$B$14,"Closed",IF(A60&lt;=Assumptions!$B$12,"Moratorium","Repayment"))</f>
        <v>Closed</v>
      </c>
      <c r="D60" s="14">
        <f t="shared" si="9"/>
        <v>0</v>
      </c>
      <c r="E60" s="14">
        <f>IF(B60&gt;25,0,INDEX(Assumptions!$B$22:$B$46,B60))</f>
        <v>60</v>
      </c>
      <c r="F60" s="14">
        <f t="shared" si="6"/>
        <v>15</v>
      </c>
      <c r="G60" s="14">
        <f>D60*Assumptions!$B$16</f>
        <v>0</v>
      </c>
      <c r="H60" s="14">
        <f>IF(OR(A60&lt;=Assumptions!$B$12,A60&gt;Assumptions!$B$14),0,MIN($E$6,D60))</f>
        <v>0</v>
      </c>
      <c r="I60" s="14">
        <f>IF(A60&gt;Assumptions!$B$14,0,MIN(SUMPRODUCT((Assumptions!$B$53:$B$57=A60)*Assumptions!$C$53:$C$57)*Assumptions!$B$50,D60-H60))</f>
        <v>0</v>
      </c>
      <c r="J60" s="14">
        <f t="shared" si="7"/>
        <v>0</v>
      </c>
      <c r="K60" s="14">
        <f t="shared" si="8"/>
        <v>0</v>
      </c>
      <c r="L60" s="15" t="str">
        <f>IF(OR(A60&gt;Assumptions!$B$14,(G60+H60)=0),"",F60/(G60+H60))</f>
        <v/>
      </c>
      <c r="M60" s="13" t="str">
        <f>IF(A60&gt;Assumptions!$B$14,"Closed",IF(A60&lt;=Assumptions!$B$12,"Moratorium",IF(D60=0,"Closed (Repaid Early)",IF(L60&lt;Assumptions!$B$11-0.005,"BREACH","PASS"))))</f>
        <v>Closed</v>
      </c>
      <c r="N60" s="2"/>
    </row>
    <row r="61" spans="1:14" ht="15" customHeight="1" x14ac:dyDescent="0.25">
      <c r="A61" s="10">
        <v>53</v>
      </c>
      <c r="B61" s="10">
        <f t="shared" si="5"/>
        <v>14</v>
      </c>
      <c r="C61" s="10" t="str">
        <f>IF(A61&gt;Assumptions!$B$14,"Closed",IF(A61&lt;=Assumptions!$B$12,"Moratorium","Repayment"))</f>
        <v>Closed</v>
      </c>
      <c r="D61" s="11">
        <f t="shared" si="9"/>
        <v>0</v>
      </c>
      <c r="E61" s="11">
        <f>IF(B61&gt;25,0,INDEX(Assumptions!$B$22:$B$46,B61))</f>
        <v>60</v>
      </c>
      <c r="F61" s="11">
        <f t="shared" si="6"/>
        <v>15</v>
      </c>
      <c r="G61" s="11">
        <f>D61*Assumptions!$B$16</f>
        <v>0</v>
      </c>
      <c r="H61" s="11">
        <f>IF(OR(A61&lt;=Assumptions!$B$12,A61&gt;Assumptions!$B$14),0,MIN($E$6,D61))</f>
        <v>0</v>
      </c>
      <c r="I61" s="11">
        <f>IF(A61&gt;Assumptions!$B$14,0,MIN(SUMPRODUCT((Assumptions!$B$53:$B$57=A61)*Assumptions!$C$53:$C$57)*Assumptions!$B$50,D61-H61))</f>
        <v>0</v>
      </c>
      <c r="J61" s="11">
        <f t="shared" si="7"/>
        <v>0</v>
      </c>
      <c r="K61" s="11">
        <f t="shared" si="8"/>
        <v>0</v>
      </c>
      <c r="L61" s="12" t="str">
        <f>IF(OR(A61&gt;Assumptions!$B$14,(G61+H61)=0),"",F61/(G61+H61))</f>
        <v/>
      </c>
      <c r="M61" s="10" t="str">
        <f>IF(A61&gt;Assumptions!$B$14,"Closed",IF(A61&lt;=Assumptions!$B$12,"Moratorium",IF(D61=0,"Closed (Repaid Early)",IF(L61&lt;Assumptions!$B$11-0.005,"BREACH","PASS"))))</f>
        <v>Closed</v>
      </c>
      <c r="N61" s="2"/>
    </row>
    <row r="62" spans="1:14" ht="15" customHeight="1" x14ac:dyDescent="0.25">
      <c r="A62" s="13">
        <v>54</v>
      </c>
      <c r="B62" s="13">
        <f t="shared" si="5"/>
        <v>14</v>
      </c>
      <c r="C62" s="13" t="str">
        <f>IF(A62&gt;Assumptions!$B$14,"Closed",IF(A62&lt;=Assumptions!$B$12,"Moratorium","Repayment"))</f>
        <v>Closed</v>
      </c>
      <c r="D62" s="14">
        <f t="shared" si="9"/>
        <v>0</v>
      </c>
      <c r="E62" s="14">
        <f>IF(B62&gt;25,0,INDEX(Assumptions!$B$22:$B$46,B62))</f>
        <v>60</v>
      </c>
      <c r="F62" s="14">
        <f t="shared" si="6"/>
        <v>15</v>
      </c>
      <c r="G62" s="14">
        <f>D62*Assumptions!$B$16</f>
        <v>0</v>
      </c>
      <c r="H62" s="14">
        <f>IF(OR(A62&lt;=Assumptions!$B$12,A62&gt;Assumptions!$B$14),0,MIN($E$6,D62))</f>
        <v>0</v>
      </c>
      <c r="I62" s="14">
        <f>IF(A62&gt;Assumptions!$B$14,0,MIN(SUMPRODUCT((Assumptions!$B$53:$B$57=A62)*Assumptions!$C$53:$C$57)*Assumptions!$B$50,D62-H62))</f>
        <v>0</v>
      </c>
      <c r="J62" s="14">
        <f t="shared" si="7"/>
        <v>0</v>
      </c>
      <c r="K62" s="14">
        <f t="shared" si="8"/>
        <v>0</v>
      </c>
      <c r="L62" s="15" t="str">
        <f>IF(OR(A62&gt;Assumptions!$B$14,(G62+H62)=0),"",F62/(G62+H62))</f>
        <v/>
      </c>
      <c r="M62" s="13" t="str">
        <f>IF(A62&gt;Assumptions!$B$14,"Closed",IF(A62&lt;=Assumptions!$B$12,"Moratorium",IF(D62=0,"Closed (Repaid Early)",IF(L62&lt;Assumptions!$B$11-0.005,"BREACH","PASS"))))</f>
        <v>Closed</v>
      </c>
      <c r="N62" s="2"/>
    </row>
    <row r="63" spans="1:14" ht="15" customHeight="1" x14ac:dyDescent="0.25">
      <c r="A63" s="10">
        <v>55</v>
      </c>
      <c r="B63" s="10">
        <f t="shared" si="5"/>
        <v>14</v>
      </c>
      <c r="C63" s="10" t="str">
        <f>IF(A63&gt;Assumptions!$B$14,"Closed",IF(A63&lt;=Assumptions!$B$12,"Moratorium","Repayment"))</f>
        <v>Closed</v>
      </c>
      <c r="D63" s="11">
        <f t="shared" si="9"/>
        <v>0</v>
      </c>
      <c r="E63" s="11">
        <f>IF(B63&gt;25,0,INDEX(Assumptions!$B$22:$B$46,B63))</f>
        <v>60</v>
      </c>
      <c r="F63" s="11">
        <f t="shared" si="6"/>
        <v>15</v>
      </c>
      <c r="G63" s="11">
        <f>D63*Assumptions!$B$16</f>
        <v>0</v>
      </c>
      <c r="H63" s="11">
        <f>IF(OR(A63&lt;=Assumptions!$B$12,A63&gt;Assumptions!$B$14),0,MIN($E$6,D63))</f>
        <v>0</v>
      </c>
      <c r="I63" s="11">
        <f>IF(A63&gt;Assumptions!$B$14,0,MIN(SUMPRODUCT((Assumptions!$B$53:$B$57=A63)*Assumptions!$C$53:$C$57)*Assumptions!$B$50,D63-H63))</f>
        <v>0</v>
      </c>
      <c r="J63" s="11">
        <f t="shared" si="7"/>
        <v>0</v>
      </c>
      <c r="K63" s="11">
        <f t="shared" si="8"/>
        <v>0</v>
      </c>
      <c r="L63" s="12" t="str">
        <f>IF(OR(A63&gt;Assumptions!$B$14,(G63+H63)=0),"",F63/(G63+H63))</f>
        <v/>
      </c>
      <c r="M63" s="10" t="str">
        <f>IF(A63&gt;Assumptions!$B$14,"Closed",IF(A63&lt;=Assumptions!$B$12,"Moratorium",IF(D63=0,"Closed (Repaid Early)",IF(L63&lt;Assumptions!$B$11-0.005,"BREACH","PASS"))))</f>
        <v>Closed</v>
      </c>
      <c r="N63" s="2"/>
    </row>
    <row r="64" spans="1:14" ht="15" customHeight="1" x14ac:dyDescent="0.25">
      <c r="A64" s="13">
        <v>56</v>
      </c>
      <c r="B64" s="13">
        <f t="shared" si="5"/>
        <v>14</v>
      </c>
      <c r="C64" s="13" t="str">
        <f>IF(A64&gt;Assumptions!$B$14,"Closed",IF(A64&lt;=Assumptions!$B$12,"Moratorium","Repayment"))</f>
        <v>Closed</v>
      </c>
      <c r="D64" s="14">
        <f t="shared" si="9"/>
        <v>0</v>
      </c>
      <c r="E64" s="14">
        <f>IF(B64&gt;25,0,INDEX(Assumptions!$B$22:$B$46,B64))</f>
        <v>60</v>
      </c>
      <c r="F64" s="14">
        <f t="shared" si="6"/>
        <v>15</v>
      </c>
      <c r="G64" s="14">
        <f>D64*Assumptions!$B$16</f>
        <v>0</v>
      </c>
      <c r="H64" s="14">
        <f>IF(OR(A64&lt;=Assumptions!$B$12,A64&gt;Assumptions!$B$14),0,MIN($E$6,D64))</f>
        <v>0</v>
      </c>
      <c r="I64" s="14">
        <f>IF(A64&gt;Assumptions!$B$14,0,MIN(SUMPRODUCT((Assumptions!$B$53:$B$57=A64)*Assumptions!$C$53:$C$57)*Assumptions!$B$50,D64-H64))</f>
        <v>0</v>
      </c>
      <c r="J64" s="14">
        <f t="shared" si="7"/>
        <v>0</v>
      </c>
      <c r="K64" s="14">
        <f t="shared" si="8"/>
        <v>0</v>
      </c>
      <c r="L64" s="15" t="str">
        <f>IF(OR(A64&gt;Assumptions!$B$14,(G64+H64)=0),"",F64/(G64+H64))</f>
        <v/>
      </c>
      <c r="M64" s="13" t="str">
        <f>IF(A64&gt;Assumptions!$B$14,"Closed",IF(A64&lt;=Assumptions!$B$12,"Moratorium",IF(D64=0,"Closed (Repaid Early)",IF(L64&lt;Assumptions!$B$11-0.005,"BREACH","PASS"))))</f>
        <v>Closed</v>
      </c>
      <c r="N64" s="2"/>
    </row>
    <row r="65" spans="1:14" ht="15" customHeight="1" x14ac:dyDescent="0.25">
      <c r="A65" s="10">
        <v>57</v>
      </c>
      <c r="B65" s="10">
        <f t="shared" si="5"/>
        <v>15</v>
      </c>
      <c r="C65" s="10" t="str">
        <f>IF(A65&gt;Assumptions!$B$14,"Closed",IF(A65&lt;=Assumptions!$B$12,"Moratorium","Repayment"))</f>
        <v>Closed</v>
      </c>
      <c r="D65" s="11">
        <f t="shared" si="9"/>
        <v>0</v>
      </c>
      <c r="E65" s="11">
        <f>IF(B65&gt;25,0,INDEX(Assumptions!$B$22:$B$46,B65))</f>
        <v>60</v>
      </c>
      <c r="F65" s="11">
        <f t="shared" si="6"/>
        <v>15</v>
      </c>
      <c r="G65" s="11">
        <f>D65*Assumptions!$B$16</f>
        <v>0</v>
      </c>
      <c r="H65" s="11">
        <f>IF(OR(A65&lt;=Assumptions!$B$12,A65&gt;Assumptions!$B$14),0,MIN($E$6,D65))</f>
        <v>0</v>
      </c>
      <c r="I65" s="11">
        <f>IF(A65&gt;Assumptions!$B$14,0,MIN(SUMPRODUCT((Assumptions!$B$53:$B$57=A65)*Assumptions!$C$53:$C$57)*Assumptions!$B$50,D65-H65))</f>
        <v>0</v>
      </c>
      <c r="J65" s="11">
        <f t="shared" si="7"/>
        <v>0</v>
      </c>
      <c r="K65" s="11">
        <f t="shared" si="8"/>
        <v>0</v>
      </c>
      <c r="L65" s="12" t="str">
        <f>IF(OR(A65&gt;Assumptions!$B$14,(G65+H65)=0),"",F65/(G65+H65))</f>
        <v/>
      </c>
      <c r="M65" s="10" t="str">
        <f>IF(A65&gt;Assumptions!$B$14,"Closed",IF(A65&lt;=Assumptions!$B$12,"Moratorium",IF(D65=0,"Closed (Repaid Early)",IF(L65&lt;Assumptions!$B$11-0.005,"BREACH","PASS"))))</f>
        <v>Closed</v>
      </c>
      <c r="N65" s="2"/>
    </row>
    <row r="66" spans="1:14" ht="15" customHeight="1" x14ac:dyDescent="0.25">
      <c r="A66" s="13">
        <v>58</v>
      </c>
      <c r="B66" s="13">
        <f t="shared" si="5"/>
        <v>15</v>
      </c>
      <c r="C66" s="13" t="str">
        <f>IF(A66&gt;Assumptions!$B$14,"Closed",IF(A66&lt;=Assumptions!$B$12,"Moratorium","Repayment"))</f>
        <v>Closed</v>
      </c>
      <c r="D66" s="14">
        <f t="shared" si="9"/>
        <v>0</v>
      </c>
      <c r="E66" s="14">
        <f>IF(B66&gt;25,0,INDEX(Assumptions!$B$22:$B$46,B66))</f>
        <v>60</v>
      </c>
      <c r="F66" s="14">
        <f t="shared" si="6"/>
        <v>15</v>
      </c>
      <c r="G66" s="14">
        <f>D66*Assumptions!$B$16</f>
        <v>0</v>
      </c>
      <c r="H66" s="14">
        <f>IF(OR(A66&lt;=Assumptions!$B$12,A66&gt;Assumptions!$B$14),0,MIN($E$6,D66))</f>
        <v>0</v>
      </c>
      <c r="I66" s="14">
        <f>IF(A66&gt;Assumptions!$B$14,0,MIN(SUMPRODUCT((Assumptions!$B$53:$B$57=A66)*Assumptions!$C$53:$C$57)*Assumptions!$B$50,D66-H66))</f>
        <v>0</v>
      </c>
      <c r="J66" s="14">
        <f t="shared" si="7"/>
        <v>0</v>
      </c>
      <c r="K66" s="14">
        <f t="shared" si="8"/>
        <v>0</v>
      </c>
      <c r="L66" s="15" t="str">
        <f>IF(OR(A66&gt;Assumptions!$B$14,(G66+H66)=0),"",F66/(G66+H66))</f>
        <v/>
      </c>
      <c r="M66" s="13" t="str">
        <f>IF(A66&gt;Assumptions!$B$14,"Closed",IF(A66&lt;=Assumptions!$B$12,"Moratorium",IF(D66=0,"Closed (Repaid Early)",IF(L66&lt;Assumptions!$B$11-0.005,"BREACH","PASS"))))</f>
        <v>Closed</v>
      </c>
      <c r="N66" s="2"/>
    </row>
    <row r="67" spans="1:14" ht="15" customHeight="1" x14ac:dyDescent="0.25">
      <c r="A67" s="10">
        <v>59</v>
      </c>
      <c r="B67" s="10">
        <f t="shared" si="5"/>
        <v>15</v>
      </c>
      <c r="C67" s="10" t="str">
        <f>IF(A67&gt;Assumptions!$B$14,"Closed",IF(A67&lt;=Assumptions!$B$12,"Moratorium","Repayment"))</f>
        <v>Closed</v>
      </c>
      <c r="D67" s="11">
        <f t="shared" si="9"/>
        <v>0</v>
      </c>
      <c r="E67" s="11">
        <f>IF(B67&gt;25,0,INDEX(Assumptions!$B$22:$B$46,B67))</f>
        <v>60</v>
      </c>
      <c r="F67" s="11">
        <f t="shared" si="6"/>
        <v>15</v>
      </c>
      <c r="G67" s="11">
        <f>D67*Assumptions!$B$16</f>
        <v>0</v>
      </c>
      <c r="H67" s="11">
        <f>IF(OR(A67&lt;=Assumptions!$B$12,A67&gt;Assumptions!$B$14),0,MIN($E$6,D67))</f>
        <v>0</v>
      </c>
      <c r="I67" s="11">
        <f>IF(A67&gt;Assumptions!$B$14,0,MIN(SUMPRODUCT((Assumptions!$B$53:$B$57=A67)*Assumptions!$C$53:$C$57)*Assumptions!$B$50,D67-H67))</f>
        <v>0</v>
      </c>
      <c r="J67" s="11">
        <f t="shared" si="7"/>
        <v>0</v>
      </c>
      <c r="K67" s="11">
        <f t="shared" si="8"/>
        <v>0</v>
      </c>
      <c r="L67" s="12" t="str">
        <f>IF(OR(A67&gt;Assumptions!$B$14,(G67+H67)=0),"",F67/(G67+H67))</f>
        <v/>
      </c>
      <c r="M67" s="10" t="str">
        <f>IF(A67&gt;Assumptions!$B$14,"Closed",IF(A67&lt;=Assumptions!$B$12,"Moratorium",IF(D67=0,"Closed (Repaid Early)",IF(L67&lt;Assumptions!$B$11-0.005,"BREACH","PASS"))))</f>
        <v>Closed</v>
      </c>
      <c r="N67" s="2"/>
    </row>
    <row r="68" spans="1:14" ht="15" customHeight="1" x14ac:dyDescent="0.25">
      <c r="A68" s="13">
        <v>60</v>
      </c>
      <c r="B68" s="13">
        <f t="shared" si="5"/>
        <v>15</v>
      </c>
      <c r="C68" s="13" t="str">
        <f>IF(A68&gt;Assumptions!$B$14,"Closed",IF(A68&lt;=Assumptions!$B$12,"Moratorium","Repayment"))</f>
        <v>Closed</v>
      </c>
      <c r="D68" s="14">
        <f t="shared" si="9"/>
        <v>0</v>
      </c>
      <c r="E68" s="14">
        <f>IF(B68&gt;25,0,INDEX(Assumptions!$B$22:$B$46,B68))</f>
        <v>60</v>
      </c>
      <c r="F68" s="14">
        <f t="shared" si="6"/>
        <v>15</v>
      </c>
      <c r="G68" s="14">
        <f>D68*Assumptions!$B$16</f>
        <v>0</v>
      </c>
      <c r="H68" s="14">
        <f>IF(OR(A68&lt;=Assumptions!$B$12,A68&gt;Assumptions!$B$14),0,MIN($E$6,D68))</f>
        <v>0</v>
      </c>
      <c r="I68" s="14">
        <f>IF(A68&gt;Assumptions!$B$14,0,MIN(SUMPRODUCT((Assumptions!$B$53:$B$57=A68)*Assumptions!$C$53:$C$57)*Assumptions!$B$50,D68-H68))</f>
        <v>0</v>
      </c>
      <c r="J68" s="14">
        <f t="shared" si="7"/>
        <v>0</v>
      </c>
      <c r="K68" s="14">
        <f t="shared" si="8"/>
        <v>0</v>
      </c>
      <c r="L68" s="15" t="str">
        <f>IF(OR(A68&gt;Assumptions!$B$14,(G68+H68)=0),"",F68/(G68+H68))</f>
        <v/>
      </c>
      <c r="M68" s="13" t="str">
        <f>IF(A68&gt;Assumptions!$B$14,"Closed",IF(A68&lt;=Assumptions!$B$12,"Moratorium",IF(D68=0,"Closed (Repaid Early)",IF(L68&lt;Assumptions!$B$11-0.005,"BREACH","PASS"))))</f>
        <v>Closed</v>
      </c>
      <c r="N68" s="2"/>
    </row>
    <row r="69" spans="1:14" ht="15" customHeight="1" x14ac:dyDescent="0.25">
      <c r="A69" s="10">
        <v>61</v>
      </c>
      <c r="B69" s="10">
        <f t="shared" si="5"/>
        <v>16</v>
      </c>
      <c r="C69" s="10" t="str">
        <f>IF(A69&gt;Assumptions!$B$14,"Closed",IF(A69&lt;=Assumptions!$B$12,"Moratorium","Repayment"))</f>
        <v>Closed</v>
      </c>
      <c r="D69" s="11">
        <f t="shared" si="9"/>
        <v>0</v>
      </c>
      <c r="E69" s="11">
        <f>IF(B69&gt;25,0,INDEX(Assumptions!$B$22:$B$46,B69))</f>
        <v>0</v>
      </c>
      <c r="F69" s="11">
        <f t="shared" si="6"/>
        <v>0</v>
      </c>
      <c r="G69" s="11">
        <f>D69*Assumptions!$B$16</f>
        <v>0</v>
      </c>
      <c r="H69" s="11">
        <f>IF(OR(A69&lt;=Assumptions!$B$12,A69&gt;Assumptions!$B$14),0,MIN($E$6,D69))</f>
        <v>0</v>
      </c>
      <c r="I69" s="11">
        <f>IF(A69&gt;Assumptions!$B$14,0,MIN(SUMPRODUCT((Assumptions!$B$53:$B$57=A69)*Assumptions!$C$53:$C$57)*Assumptions!$B$50,D69-H69))</f>
        <v>0</v>
      </c>
      <c r="J69" s="11">
        <f t="shared" si="7"/>
        <v>0</v>
      </c>
      <c r="K69" s="11">
        <f t="shared" si="8"/>
        <v>0</v>
      </c>
      <c r="L69" s="12" t="str">
        <f>IF(OR(A69&gt;Assumptions!$B$14,(G69+H69)=0),"",F69/(G69+H69))</f>
        <v/>
      </c>
      <c r="M69" s="10" t="str">
        <f>IF(A69&gt;Assumptions!$B$14,"Closed",IF(A69&lt;=Assumptions!$B$12,"Moratorium",IF(D69=0,"Closed (Repaid Early)",IF(L69&lt;Assumptions!$B$11-0.005,"BREACH","PASS"))))</f>
        <v>Closed</v>
      </c>
      <c r="N69" s="2"/>
    </row>
    <row r="70" spans="1:14" ht="15" customHeight="1" x14ac:dyDescent="0.25">
      <c r="A70" s="13">
        <v>62</v>
      </c>
      <c r="B70" s="13">
        <f t="shared" si="5"/>
        <v>16</v>
      </c>
      <c r="C70" s="13" t="str">
        <f>IF(A70&gt;Assumptions!$B$14,"Closed",IF(A70&lt;=Assumptions!$B$12,"Moratorium","Repayment"))</f>
        <v>Closed</v>
      </c>
      <c r="D70" s="14">
        <f t="shared" si="9"/>
        <v>0</v>
      </c>
      <c r="E70" s="14">
        <f>IF(B70&gt;25,0,INDEX(Assumptions!$B$22:$B$46,B70))</f>
        <v>0</v>
      </c>
      <c r="F70" s="14">
        <f t="shared" si="6"/>
        <v>0</v>
      </c>
      <c r="G70" s="14">
        <f>D70*Assumptions!$B$16</f>
        <v>0</v>
      </c>
      <c r="H70" s="14">
        <f>IF(OR(A70&lt;=Assumptions!$B$12,A70&gt;Assumptions!$B$14),0,MIN($E$6,D70))</f>
        <v>0</v>
      </c>
      <c r="I70" s="14">
        <f>IF(A70&gt;Assumptions!$B$14,0,MIN(SUMPRODUCT((Assumptions!$B$53:$B$57=A70)*Assumptions!$C$53:$C$57)*Assumptions!$B$50,D70-H70))</f>
        <v>0</v>
      </c>
      <c r="J70" s="14">
        <f t="shared" si="7"/>
        <v>0</v>
      </c>
      <c r="K70" s="14">
        <f t="shared" si="8"/>
        <v>0</v>
      </c>
      <c r="L70" s="15" t="str">
        <f>IF(OR(A70&gt;Assumptions!$B$14,(G70+H70)=0),"",F70/(G70+H70))</f>
        <v/>
      </c>
      <c r="M70" s="13" t="str">
        <f>IF(A70&gt;Assumptions!$B$14,"Closed",IF(A70&lt;=Assumptions!$B$12,"Moratorium",IF(D70=0,"Closed (Repaid Early)",IF(L70&lt;Assumptions!$B$11-0.005,"BREACH","PASS"))))</f>
        <v>Closed</v>
      </c>
      <c r="N70" s="2"/>
    </row>
    <row r="71" spans="1:14" ht="15" customHeight="1" x14ac:dyDescent="0.25">
      <c r="A71" s="10">
        <v>63</v>
      </c>
      <c r="B71" s="10">
        <f t="shared" si="5"/>
        <v>16</v>
      </c>
      <c r="C71" s="10" t="str">
        <f>IF(A71&gt;Assumptions!$B$14,"Closed",IF(A71&lt;=Assumptions!$B$12,"Moratorium","Repayment"))</f>
        <v>Closed</v>
      </c>
      <c r="D71" s="11">
        <f t="shared" si="9"/>
        <v>0</v>
      </c>
      <c r="E71" s="11">
        <f>IF(B71&gt;25,0,INDEX(Assumptions!$B$22:$B$46,B71))</f>
        <v>0</v>
      </c>
      <c r="F71" s="11">
        <f t="shared" si="6"/>
        <v>0</v>
      </c>
      <c r="G71" s="11">
        <f>D71*Assumptions!$B$16</f>
        <v>0</v>
      </c>
      <c r="H71" s="11">
        <f>IF(OR(A71&lt;=Assumptions!$B$12,A71&gt;Assumptions!$B$14),0,MIN($E$6,D71))</f>
        <v>0</v>
      </c>
      <c r="I71" s="11">
        <f>IF(A71&gt;Assumptions!$B$14,0,MIN(SUMPRODUCT((Assumptions!$B$53:$B$57=A71)*Assumptions!$C$53:$C$57)*Assumptions!$B$50,D71-H71))</f>
        <v>0</v>
      </c>
      <c r="J71" s="11">
        <f t="shared" si="7"/>
        <v>0</v>
      </c>
      <c r="K71" s="11">
        <f t="shared" si="8"/>
        <v>0</v>
      </c>
      <c r="L71" s="12" t="str">
        <f>IF(OR(A71&gt;Assumptions!$B$14,(G71+H71)=0),"",F71/(G71+H71))</f>
        <v/>
      </c>
      <c r="M71" s="10" t="str">
        <f>IF(A71&gt;Assumptions!$B$14,"Closed",IF(A71&lt;=Assumptions!$B$12,"Moratorium",IF(D71=0,"Closed (Repaid Early)",IF(L71&lt;Assumptions!$B$11-0.005,"BREACH","PASS"))))</f>
        <v>Closed</v>
      </c>
      <c r="N71" s="2"/>
    </row>
    <row r="72" spans="1:14" ht="15" customHeight="1" x14ac:dyDescent="0.25">
      <c r="A72" s="13">
        <v>64</v>
      </c>
      <c r="B72" s="13">
        <f t="shared" si="5"/>
        <v>16</v>
      </c>
      <c r="C72" s="13" t="str">
        <f>IF(A72&gt;Assumptions!$B$14,"Closed",IF(A72&lt;=Assumptions!$B$12,"Moratorium","Repayment"))</f>
        <v>Closed</v>
      </c>
      <c r="D72" s="14">
        <f t="shared" si="9"/>
        <v>0</v>
      </c>
      <c r="E72" s="14">
        <f>IF(B72&gt;25,0,INDEX(Assumptions!$B$22:$B$46,B72))</f>
        <v>0</v>
      </c>
      <c r="F72" s="14">
        <f t="shared" si="6"/>
        <v>0</v>
      </c>
      <c r="G72" s="14">
        <f>D72*Assumptions!$B$16</f>
        <v>0</v>
      </c>
      <c r="H72" s="14">
        <f>IF(OR(A72&lt;=Assumptions!$B$12,A72&gt;Assumptions!$B$14),0,MIN($E$6,D72))</f>
        <v>0</v>
      </c>
      <c r="I72" s="14">
        <f>IF(A72&gt;Assumptions!$B$14,0,MIN(SUMPRODUCT((Assumptions!$B$53:$B$57=A72)*Assumptions!$C$53:$C$57)*Assumptions!$B$50,D72-H72))</f>
        <v>0</v>
      </c>
      <c r="J72" s="14">
        <f t="shared" si="7"/>
        <v>0</v>
      </c>
      <c r="K72" s="14">
        <f t="shared" si="8"/>
        <v>0</v>
      </c>
      <c r="L72" s="15" t="str">
        <f>IF(OR(A72&gt;Assumptions!$B$14,(G72+H72)=0),"",F72/(G72+H72))</f>
        <v/>
      </c>
      <c r="M72" s="13" t="str">
        <f>IF(A72&gt;Assumptions!$B$14,"Closed",IF(A72&lt;=Assumptions!$B$12,"Moratorium",IF(D72=0,"Closed (Repaid Early)",IF(L72&lt;Assumptions!$B$11-0.005,"BREACH","PASS"))))</f>
        <v>Closed</v>
      </c>
      <c r="N72" s="2"/>
    </row>
    <row r="73" spans="1:14" ht="15" customHeight="1" x14ac:dyDescent="0.25">
      <c r="A73" s="10">
        <v>65</v>
      </c>
      <c r="B73" s="10">
        <f t="shared" ref="B73:B104" si="10">ROUNDUP(A73/4,0)</f>
        <v>17</v>
      </c>
      <c r="C73" s="10" t="str">
        <f>IF(A73&gt;Assumptions!$B$14,"Closed",IF(A73&lt;=Assumptions!$B$12,"Moratorium","Repayment"))</f>
        <v>Closed</v>
      </c>
      <c r="D73" s="11">
        <f t="shared" si="9"/>
        <v>0</v>
      </c>
      <c r="E73" s="11">
        <f>IF(B73&gt;25,0,INDEX(Assumptions!$B$22:$B$46,B73))</f>
        <v>0</v>
      </c>
      <c r="F73" s="11">
        <f t="shared" ref="F73:F104" si="11">E73/4</f>
        <v>0</v>
      </c>
      <c r="G73" s="11">
        <f>D73*Assumptions!$B$16</f>
        <v>0</v>
      </c>
      <c r="H73" s="11">
        <f>IF(OR(A73&lt;=Assumptions!$B$12,A73&gt;Assumptions!$B$14),0,MIN($E$6,D73))</f>
        <v>0</v>
      </c>
      <c r="I73" s="11">
        <f>IF(A73&gt;Assumptions!$B$14,0,MIN(SUMPRODUCT((Assumptions!$B$53:$B$57=A73)*Assumptions!$C$53:$C$57)*Assumptions!$B$50,D73-H73))</f>
        <v>0</v>
      </c>
      <c r="J73" s="11">
        <f t="shared" ref="J73:J104" si="12">H73+I73</f>
        <v>0</v>
      </c>
      <c r="K73" s="11">
        <f t="shared" ref="K73:K104" si="13">D73-J73</f>
        <v>0</v>
      </c>
      <c r="L73" s="12" t="str">
        <f>IF(OR(A73&gt;Assumptions!$B$14,(G73+H73)=0),"",F73/(G73+H73))</f>
        <v/>
      </c>
      <c r="M73" s="10" t="str">
        <f>IF(A73&gt;Assumptions!$B$14,"Closed",IF(A73&lt;=Assumptions!$B$12,"Moratorium",IF(D73=0,"Closed (Repaid Early)",IF(L73&lt;Assumptions!$B$11-0.005,"BREACH","PASS"))))</f>
        <v>Closed</v>
      </c>
      <c r="N73" s="2"/>
    </row>
    <row r="74" spans="1:14" ht="15" customHeight="1" x14ac:dyDescent="0.25">
      <c r="A74" s="13">
        <v>66</v>
      </c>
      <c r="B74" s="13">
        <f t="shared" si="10"/>
        <v>17</v>
      </c>
      <c r="C74" s="13" t="str">
        <f>IF(A74&gt;Assumptions!$B$14,"Closed",IF(A74&lt;=Assumptions!$B$12,"Moratorium","Repayment"))</f>
        <v>Closed</v>
      </c>
      <c r="D74" s="14">
        <f t="shared" ref="D74:D108" si="14">K73</f>
        <v>0</v>
      </c>
      <c r="E74" s="14">
        <f>IF(B74&gt;25,0,INDEX(Assumptions!$B$22:$B$46,B74))</f>
        <v>0</v>
      </c>
      <c r="F74" s="14">
        <f t="shared" si="11"/>
        <v>0</v>
      </c>
      <c r="G74" s="14">
        <f>D74*Assumptions!$B$16</f>
        <v>0</v>
      </c>
      <c r="H74" s="14">
        <f>IF(OR(A74&lt;=Assumptions!$B$12,A74&gt;Assumptions!$B$14),0,MIN($E$6,D74))</f>
        <v>0</v>
      </c>
      <c r="I74" s="14">
        <f>IF(A74&gt;Assumptions!$B$14,0,MIN(SUMPRODUCT((Assumptions!$B$53:$B$57=A74)*Assumptions!$C$53:$C$57)*Assumptions!$B$50,D74-H74))</f>
        <v>0</v>
      </c>
      <c r="J74" s="14">
        <f t="shared" si="12"/>
        <v>0</v>
      </c>
      <c r="K74" s="14">
        <f t="shared" si="13"/>
        <v>0</v>
      </c>
      <c r="L74" s="15" t="str">
        <f>IF(OR(A74&gt;Assumptions!$B$14,(G74+H74)=0),"",F74/(G74+H74))</f>
        <v/>
      </c>
      <c r="M74" s="13" t="str">
        <f>IF(A74&gt;Assumptions!$B$14,"Closed",IF(A74&lt;=Assumptions!$B$12,"Moratorium",IF(D74=0,"Closed (Repaid Early)",IF(L74&lt;Assumptions!$B$11-0.005,"BREACH","PASS"))))</f>
        <v>Closed</v>
      </c>
      <c r="N74" s="2"/>
    </row>
    <row r="75" spans="1:14" ht="15" customHeight="1" x14ac:dyDescent="0.25">
      <c r="A75" s="10">
        <v>67</v>
      </c>
      <c r="B75" s="10">
        <f t="shared" si="10"/>
        <v>17</v>
      </c>
      <c r="C75" s="10" t="str">
        <f>IF(A75&gt;Assumptions!$B$14,"Closed",IF(A75&lt;=Assumptions!$B$12,"Moratorium","Repayment"))</f>
        <v>Closed</v>
      </c>
      <c r="D75" s="11">
        <f t="shared" si="14"/>
        <v>0</v>
      </c>
      <c r="E75" s="11">
        <f>IF(B75&gt;25,0,INDEX(Assumptions!$B$22:$B$46,B75))</f>
        <v>0</v>
      </c>
      <c r="F75" s="11">
        <f t="shared" si="11"/>
        <v>0</v>
      </c>
      <c r="G75" s="11">
        <f>D75*Assumptions!$B$16</f>
        <v>0</v>
      </c>
      <c r="H75" s="11">
        <f>IF(OR(A75&lt;=Assumptions!$B$12,A75&gt;Assumptions!$B$14),0,MIN($E$6,D75))</f>
        <v>0</v>
      </c>
      <c r="I75" s="11">
        <f>IF(A75&gt;Assumptions!$B$14,0,MIN(SUMPRODUCT((Assumptions!$B$53:$B$57=A75)*Assumptions!$C$53:$C$57)*Assumptions!$B$50,D75-H75))</f>
        <v>0</v>
      </c>
      <c r="J75" s="11">
        <f t="shared" si="12"/>
        <v>0</v>
      </c>
      <c r="K75" s="11">
        <f t="shared" si="13"/>
        <v>0</v>
      </c>
      <c r="L75" s="12" t="str">
        <f>IF(OR(A75&gt;Assumptions!$B$14,(G75+H75)=0),"",F75/(G75+H75))</f>
        <v/>
      </c>
      <c r="M75" s="10" t="str">
        <f>IF(A75&gt;Assumptions!$B$14,"Closed",IF(A75&lt;=Assumptions!$B$12,"Moratorium",IF(D75=0,"Closed (Repaid Early)",IF(L75&lt;Assumptions!$B$11-0.005,"BREACH","PASS"))))</f>
        <v>Closed</v>
      </c>
      <c r="N75" s="2"/>
    </row>
    <row r="76" spans="1:14" ht="15" customHeight="1" x14ac:dyDescent="0.25">
      <c r="A76" s="13">
        <v>68</v>
      </c>
      <c r="B76" s="13">
        <f t="shared" si="10"/>
        <v>17</v>
      </c>
      <c r="C76" s="13" t="str">
        <f>IF(A76&gt;Assumptions!$B$14,"Closed",IF(A76&lt;=Assumptions!$B$12,"Moratorium","Repayment"))</f>
        <v>Closed</v>
      </c>
      <c r="D76" s="14">
        <f t="shared" si="14"/>
        <v>0</v>
      </c>
      <c r="E76" s="14">
        <f>IF(B76&gt;25,0,INDEX(Assumptions!$B$22:$B$46,B76))</f>
        <v>0</v>
      </c>
      <c r="F76" s="14">
        <f t="shared" si="11"/>
        <v>0</v>
      </c>
      <c r="G76" s="14">
        <f>D76*Assumptions!$B$16</f>
        <v>0</v>
      </c>
      <c r="H76" s="14">
        <f>IF(OR(A76&lt;=Assumptions!$B$12,A76&gt;Assumptions!$B$14),0,MIN($E$6,D76))</f>
        <v>0</v>
      </c>
      <c r="I76" s="14">
        <f>IF(A76&gt;Assumptions!$B$14,0,MIN(SUMPRODUCT((Assumptions!$B$53:$B$57=A76)*Assumptions!$C$53:$C$57)*Assumptions!$B$50,D76-H76))</f>
        <v>0</v>
      </c>
      <c r="J76" s="14">
        <f t="shared" si="12"/>
        <v>0</v>
      </c>
      <c r="K76" s="14">
        <f t="shared" si="13"/>
        <v>0</v>
      </c>
      <c r="L76" s="15" t="str">
        <f>IF(OR(A76&gt;Assumptions!$B$14,(G76+H76)=0),"",F76/(G76+H76))</f>
        <v/>
      </c>
      <c r="M76" s="13" t="str">
        <f>IF(A76&gt;Assumptions!$B$14,"Closed",IF(A76&lt;=Assumptions!$B$12,"Moratorium",IF(D76=0,"Closed (Repaid Early)",IF(L76&lt;Assumptions!$B$11-0.005,"BREACH","PASS"))))</f>
        <v>Closed</v>
      </c>
      <c r="N76" s="2"/>
    </row>
    <row r="77" spans="1:14" ht="15" customHeight="1" x14ac:dyDescent="0.25">
      <c r="A77" s="10">
        <v>69</v>
      </c>
      <c r="B77" s="10">
        <f t="shared" si="10"/>
        <v>18</v>
      </c>
      <c r="C77" s="10" t="str">
        <f>IF(A77&gt;Assumptions!$B$14,"Closed",IF(A77&lt;=Assumptions!$B$12,"Moratorium","Repayment"))</f>
        <v>Closed</v>
      </c>
      <c r="D77" s="11">
        <f t="shared" si="14"/>
        <v>0</v>
      </c>
      <c r="E77" s="11">
        <f>IF(B77&gt;25,0,INDEX(Assumptions!$B$22:$B$46,B77))</f>
        <v>0</v>
      </c>
      <c r="F77" s="11">
        <f t="shared" si="11"/>
        <v>0</v>
      </c>
      <c r="G77" s="11">
        <f>D77*Assumptions!$B$16</f>
        <v>0</v>
      </c>
      <c r="H77" s="11">
        <f>IF(OR(A77&lt;=Assumptions!$B$12,A77&gt;Assumptions!$B$14),0,MIN($E$6,D77))</f>
        <v>0</v>
      </c>
      <c r="I77" s="11">
        <f>IF(A77&gt;Assumptions!$B$14,0,MIN(SUMPRODUCT((Assumptions!$B$53:$B$57=A77)*Assumptions!$C$53:$C$57)*Assumptions!$B$50,D77-H77))</f>
        <v>0</v>
      </c>
      <c r="J77" s="11">
        <f t="shared" si="12"/>
        <v>0</v>
      </c>
      <c r="K77" s="11">
        <f t="shared" si="13"/>
        <v>0</v>
      </c>
      <c r="L77" s="12" t="str">
        <f>IF(OR(A77&gt;Assumptions!$B$14,(G77+H77)=0),"",F77/(G77+H77))</f>
        <v/>
      </c>
      <c r="M77" s="10" t="str">
        <f>IF(A77&gt;Assumptions!$B$14,"Closed",IF(A77&lt;=Assumptions!$B$12,"Moratorium",IF(D77=0,"Closed (Repaid Early)",IF(L77&lt;Assumptions!$B$11-0.005,"BREACH","PASS"))))</f>
        <v>Closed</v>
      </c>
      <c r="N77" s="2"/>
    </row>
    <row r="78" spans="1:14" ht="15" customHeight="1" x14ac:dyDescent="0.25">
      <c r="A78" s="13">
        <v>70</v>
      </c>
      <c r="B78" s="13">
        <f t="shared" si="10"/>
        <v>18</v>
      </c>
      <c r="C78" s="13" t="str">
        <f>IF(A78&gt;Assumptions!$B$14,"Closed",IF(A78&lt;=Assumptions!$B$12,"Moratorium","Repayment"))</f>
        <v>Closed</v>
      </c>
      <c r="D78" s="14">
        <f t="shared" si="14"/>
        <v>0</v>
      </c>
      <c r="E78" s="14">
        <f>IF(B78&gt;25,0,INDEX(Assumptions!$B$22:$B$46,B78))</f>
        <v>0</v>
      </c>
      <c r="F78" s="14">
        <f t="shared" si="11"/>
        <v>0</v>
      </c>
      <c r="G78" s="14">
        <f>D78*Assumptions!$B$16</f>
        <v>0</v>
      </c>
      <c r="H78" s="14">
        <f>IF(OR(A78&lt;=Assumptions!$B$12,A78&gt;Assumptions!$B$14),0,MIN($E$6,D78))</f>
        <v>0</v>
      </c>
      <c r="I78" s="14">
        <f>IF(A78&gt;Assumptions!$B$14,0,MIN(SUMPRODUCT((Assumptions!$B$53:$B$57=A78)*Assumptions!$C$53:$C$57)*Assumptions!$B$50,D78-H78))</f>
        <v>0</v>
      </c>
      <c r="J78" s="14">
        <f t="shared" si="12"/>
        <v>0</v>
      </c>
      <c r="K78" s="14">
        <f t="shared" si="13"/>
        <v>0</v>
      </c>
      <c r="L78" s="15" t="str">
        <f>IF(OR(A78&gt;Assumptions!$B$14,(G78+H78)=0),"",F78/(G78+H78))</f>
        <v/>
      </c>
      <c r="M78" s="13" t="str">
        <f>IF(A78&gt;Assumptions!$B$14,"Closed",IF(A78&lt;=Assumptions!$B$12,"Moratorium",IF(D78=0,"Closed (Repaid Early)",IF(L78&lt;Assumptions!$B$11-0.005,"BREACH","PASS"))))</f>
        <v>Closed</v>
      </c>
      <c r="N78" s="2"/>
    </row>
    <row r="79" spans="1:14" ht="15" customHeight="1" x14ac:dyDescent="0.25">
      <c r="A79" s="10">
        <v>71</v>
      </c>
      <c r="B79" s="10">
        <f t="shared" si="10"/>
        <v>18</v>
      </c>
      <c r="C79" s="10" t="str">
        <f>IF(A79&gt;Assumptions!$B$14,"Closed",IF(A79&lt;=Assumptions!$B$12,"Moratorium","Repayment"))</f>
        <v>Closed</v>
      </c>
      <c r="D79" s="11">
        <f t="shared" si="14"/>
        <v>0</v>
      </c>
      <c r="E79" s="11">
        <f>IF(B79&gt;25,0,INDEX(Assumptions!$B$22:$B$46,B79))</f>
        <v>0</v>
      </c>
      <c r="F79" s="11">
        <f t="shared" si="11"/>
        <v>0</v>
      </c>
      <c r="G79" s="11">
        <f>D79*Assumptions!$B$16</f>
        <v>0</v>
      </c>
      <c r="H79" s="11">
        <f>IF(OR(A79&lt;=Assumptions!$B$12,A79&gt;Assumptions!$B$14),0,MIN($E$6,D79))</f>
        <v>0</v>
      </c>
      <c r="I79" s="11">
        <f>IF(A79&gt;Assumptions!$B$14,0,MIN(SUMPRODUCT((Assumptions!$B$53:$B$57=A79)*Assumptions!$C$53:$C$57)*Assumptions!$B$50,D79-H79))</f>
        <v>0</v>
      </c>
      <c r="J79" s="11">
        <f t="shared" si="12"/>
        <v>0</v>
      </c>
      <c r="K79" s="11">
        <f t="shared" si="13"/>
        <v>0</v>
      </c>
      <c r="L79" s="12" t="str">
        <f>IF(OR(A79&gt;Assumptions!$B$14,(G79+H79)=0),"",F79/(G79+H79))</f>
        <v/>
      </c>
      <c r="M79" s="10" t="str">
        <f>IF(A79&gt;Assumptions!$B$14,"Closed",IF(A79&lt;=Assumptions!$B$12,"Moratorium",IF(D79=0,"Closed (Repaid Early)",IF(L79&lt;Assumptions!$B$11-0.005,"BREACH","PASS"))))</f>
        <v>Closed</v>
      </c>
      <c r="N79" s="2"/>
    </row>
    <row r="80" spans="1:14" ht="15" customHeight="1" x14ac:dyDescent="0.25">
      <c r="A80" s="13">
        <v>72</v>
      </c>
      <c r="B80" s="13">
        <f t="shared" si="10"/>
        <v>18</v>
      </c>
      <c r="C80" s="13" t="str">
        <f>IF(A80&gt;Assumptions!$B$14,"Closed",IF(A80&lt;=Assumptions!$B$12,"Moratorium","Repayment"))</f>
        <v>Closed</v>
      </c>
      <c r="D80" s="14">
        <f t="shared" si="14"/>
        <v>0</v>
      </c>
      <c r="E80" s="14">
        <f>IF(B80&gt;25,0,INDEX(Assumptions!$B$22:$B$46,B80))</f>
        <v>0</v>
      </c>
      <c r="F80" s="14">
        <f t="shared" si="11"/>
        <v>0</v>
      </c>
      <c r="G80" s="14">
        <f>D80*Assumptions!$B$16</f>
        <v>0</v>
      </c>
      <c r="H80" s="14">
        <f>IF(OR(A80&lt;=Assumptions!$B$12,A80&gt;Assumptions!$B$14),0,MIN($E$6,D80))</f>
        <v>0</v>
      </c>
      <c r="I80" s="14">
        <f>IF(A80&gt;Assumptions!$B$14,0,MIN(SUMPRODUCT((Assumptions!$B$53:$B$57=A80)*Assumptions!$C$53:$C$57)*Assumptions!$B$50,D80-H80))</f>
        <v>0</v>
      </c>
      <c r="J80" s="14">
        <f t="shared" si="12"/>
        <v>0</v>
      </c>
      <c r="K80" s="14">
        <f t="shared" si="13"/>
        <v>0</v>
      </c>
      <c r="L80" s="15" t="str">
        <f>IF(OR(A80&gt;Assumptions!$B$14,(G80+H80)=0),"",F80/(G80+H80))</f>
        <v/>
      </c>
      <c r="M80" s="13" t="str">
        <f>IF(A80&gt;Assumptions!$B$14,"Closed",IF(A80&lt;=Assumptions!$B$12,"Moratorium",IF(D80=0,"Closed (Repaid Early)",IF(L80&lt;Assumptions!$B$11-0.005,"BREACH","PASS"))))</f>
        <v>Closed</v>
      </c>
      <c r="N80" s="2"/>
    </row>
    <row r="81" spans="1:14" ht="15" customHeight="1" x14ac:dyDescent="0.25">
      <c r="A81" s="10">
        <v>73</v>
      </c>
      <c r="B81" s="10">
        <f t="shared" si="10"/>
        <v>19</v>
      </c>
      <c r="C81" s="10" t="str">
        <f>IF(A81&gt;Assumptions!$B$14,"Closed",IF(A81&lt;=Assumptions!$B$12,"Moratorium","Repayment"))</f>
        <v>Closed</v>
      </c>
      <c r="D81" s="11">
        <f t="shared" si="14"/>
        <v>0</v>
      </c>
      <c r="E81" s="11">
        <f>IF(B81&gt;25,0,INDEX(Assumptions!$B$22:$B$46,B81))</f>
        <v>0</v>
      </c>
      <c r="F81" s="11">
        <f t="shared" si="11"/>
        <v>0</v>
      </c>
      <c r="G81" s="11">
        <f>D81*Assumptions!$B$16</f>
        <v>0</v>
      </c>
      <c r="H81" s="11">
        <f>IF(OR(A81&lt;=Assumptions!$B$12,A81&gt;Assumptions!$B$14),0,MIN($E$6,D81))</f>
        <v>0</v>
      </c>
      <c r="I81" s="11">
        <f>IF(A81&gt;Assumptions!$B$14,0,MIN(SUMPRODUCT((Assumptions!$B$53:$B$57=A81)*Assumptions!$C$53:$C$57)*Assumptions!$B$50,D81-H81))</f>
        <v>0</v>
      </c>
      <c r="J81" s="11">
        <f t="shared" si="12"/>
        <v>0</v>
      </c>
      <c r="K81" s="11">
        <f t="shared" si="13"/>
        <v>0</v>
      </c>
      <c r="L81" s="12" t="str">
        <f>IF(OR(A81&gt;Assumptions!$B$14,(G81+H81)=0),"",F81/(G81+H81))</f>
        <v/>
      </c>
      <c r="M81" s="10" t="str">
        <f>IF(A81&gt;Assumptions!$B$14,"Closed",IF(A81&lt;=Assumptions!$B$12,"Moratorium",IF(D81=0,"Closed (Repaid Early)",IF(L81&lt;Assumptions!$B$11-0.005,"BREACH","PASS"))))</f>
        <v>Closed</v>
      </c>
      <c r="N81" s="2"/>
    </row>
    <row r="82" spans="1:14" ht="15" customHeight="1" x14ac:dyDescent="0.25">
      <c r="A82" s="13">
        <v>74</v>
      </c>
      <c r="B82" s="13">
        <f t="shared" si="10"/>
        <v>19</v>
      </c>
      <c r="C82" s="13" t="str">
        <f>IF(A82&gt;Assumptions!$B$14,"Closed",IF(A82&lt;=Assumptions!$B$12,"Moratorium","Repayment"))</f>
        <v>Closed</v>
      </c>
      <c r="D82" s="14">
        <f t="shared" si="14"/>
        <v>0</v>
      </c>
      <c r="E82" s="14">
        <f>IF(B82&gt;25,0,INDEX(Assumptions!$B$22:$B$46,B82))</f>
        <v>0</v>
      </c>
      <c r="F82" s="14">
        <f t="shared" si="11"/>
        <v>0</v>
      </c>
      <c r="G82" s="14">
        <f>D82*Assumptions!$B$16</f>
        <v>0</v>
      </c>
      <c r="H82" s="14">
        <f>IF(OR(A82&lt;=Assumptions!$B$12,A82&gt;Assumptions!$B$14),0,MIN($E$6,D82))</f>
        <v>0</v>
      </c>
      <c r="I82" s="14">
        <f>IF(A82&gt;Assumptions!$B$14,0,MIN(SUMPRODUCT((Assumptions!$B$53:$B$57=A82)*Assumptions!$C$53:$C$57)*Assumptions!$B$50,D82-H82))</f>
        <v>0</v>
      </c>
      <c r="J82" s="14">
        <f t="shared" si="12"/>
        <v>0</v>
      </c>
      <c r="K82" s="14">
        <f t="shared" si="13"/>
        <v>0</v>
      </c>
      <c r="L82" s="15" t="str">
        <f>IF(OR(A82&gt;Assumptions!$B$14,(G82+H82)=0),"",F82/(G82+H82))</f>
        <v/>
      </c>
      <c r="M82" s="13" t="str">
        <f>IF(A82&gt;Assumptions!$B$14,"Closed",IF(A82&lt;=Assumptions!$B$12,"Moratorium",IF(D82=0,"Closed (Repaid Early)",IF(L82&lt;Assumptions!$B$11-0.005,"BREACH","PASS"))))</f>
        <v>Closed</v>
      </c>
      <c r="N82" s="2"/>
    </row>
    <row r="83" spans="1:14" ht="15" customHeight="1" x14ac:dyDescent="0.25">
      <c r="A83" s="10">
        <v>75</v>
      </c>
      <c r="B83" s="10">
        <f t="shared" si="10"/>
        <v>19</v>
      </c>
      <c r="C83" s="10" t="str">
        <f>IF(A83&gt;Assumptions!$B$14,"Closed",IF(A83&lt;=Assumptions!$B$12,"Moratorium","Repayment"))</f>
        <v>Closed</v>
      </c>
      <c r="D83" s="11">
        <f t="shared" si="14"/>
        <v>0</v>
      </c>
      <c r="E83" s="11">
        <f>IF(B83&gt;25,0,INDEX(Assumptions!$B$22:$B$46,B83))</f>
        <v>0</v>
      </c>
      <c r="F83" s="11">
        <f t="shared" si="11"/>
        <v>0</v>
      </c>
      <c r="G83" s="11">
        <f>D83*Assumptions!$B$16</f>
        <v>0</v>
      </c>
      <c r="H83" s="11">
        <f>IF(OR(A83&lt;=Assumptions!$B$12,A83&gt;Assumptions!$B$14),0,MIN($E$6,D83))</f>
        <v>0</v>
      </c>
      <c r="I83" s="11">
        <f>IF(A83&gt;Assumptions!$B$14,0,MIN(SUMPRODUCT((Assumptions!$B$53:$B$57=A83)*Assumptions!$C$53:$C$57)*Assumptions!$B$50,D83-H83))</f>
        <v>0</v>
      </c>
      <c r="J83" s="11">
        <f t="shared" si="12"/>
        <v>0</v>
      </c>
      <c r="K83" s="11">
        <f t="shared" si="13"/>
        <v>0</v>
      </c>
      <c r="L83" s="12" t="str">
        <f>IF(OR(A83&gt;Assumptions!$B$14,(G83+H83)=0),"",F83/(G83+H83))</f>
        <v/>
      </c>
      <c r="M83" s="10" t="str">
        <f>IF(A83&gt;Assumptions!$B$14,"Closed",IF(A83&lt;=Assumptions!$B$12,"Moratorium",IF(D83=0,"Closed (Repaid Early)",IF(L83&lt;Assumptions!$B$11-0.005,"BREACH","PASS"))))</f>
        <v>Closed</v>
      </c>
      <c r="N83" s="2"/>
    </row>
    <row r="84" spans="1:14" ht="15" customHeight="1" x14ac:dyDescent="0.25">
      <c r="A84" s="13">
        <v>76</v>
      </c>
      <c r="B84" s="13">
        <f t="shared" si="10"/>
        <v>19</v>
      </c>
      <c r="C84" s="13" t="str">
        <f>IF(A84&gt;Assumptions!$B$14,"Closed",IF(A84&lt;=Assumptions!$B$12,"Moratorium","Repayment"))</f>
        <v>Closed</v>
      </c>
      <c r="D84" s="14">
        <f t="shared" si="14"/>
        <v>0</v>
      </c>
      <c r="E84" s="14">
        <f>IF(B84&gt;25,0,INDEX(Assumptions!$B$22:$B$46,B84))</f>
        <v>0</v>
      </c>
      <c r="F84" s="14">
        <f t="shared" si="11"/>
        <v>0</v>
      </c>
      <c r="G84" s="14">
        <f>D84*Assumptions!$B$16</f>
        <v>0</v>
      </c>
      <c r="H84" s="14">
        <f>IF(OR(A84&lt;=Assumptions!$B$12,A84&gt;Assumptions!$B$14),0,MIN($E$6,D84))</f>
        <v>0</v>
      </c>
      <c r="I84" s="14">
        <f>IF(A84&gt;Assumptions!$B$14,0,MIN(SUMPRODUCT((Assumptions!$B$53:$B$57=A84)*Assumptions!$C$53:$C$57)*Assumptions!$B$50,D84-H84))</f>
        <v>0</v>
      </c>
      <c r="J84" s="14">
        <f t="shared" si="12"/>
        <v>0</v>
      </c>
      <c r="K84" s="14">
        <f t="shared" si="13"/>
        <v>0</v>
      </c>
      <c r="L84" s="15" t="str">
        <f>IF(OR(A84&gt;Assumptions!$B$14,(G84+H84)=0),"",F84/(G84+H84))</f>
        <v/>
      </c>
      <c r="M84" s="13" t="str">
        <f>IF(A84&gt;Assumptions!$B$14,"Closed",IF(A84&lt;=Assumptions!$B$12,"Moratorium",IF(D84=0,"Closed (Repaid Early)",IF(L84&lt;Assumptions!$B$11-0.005,"BREACH","PASS"))))</f>
        <v>Closed</v>
      </c>
      <c r="N84" s="2"/>
    </row>
    <row r="85" spans="1:14" ht="15" customHeight="1" x14ac:dyDescent="0.25">
      <c r="A85" s="10">
        <v>77</v>
      </c>
      <c r="B85" s="10">
        <f t="shared" si="10"/>
        <v>20</v>
      </c>
      <c r="C85" s="10" t="str">
        <f>IF(A85&gt;Assumptions!$B$14,"Closed",IF(A85&lt;=Assumptions!$B$12,"Moratorium","Repayment"))</f>
        <v>Closed</v>
      </c>
      <c r="D85" s="11">
        <f t="shared" si="14"/>
        <v>0</v>
      </c>
      <c r="E85" s="11">
        <f>IF(B85&gt;25,0,INDEX(Assumptions!$B$22:$B$46,B85))</f>
        <v>0</v>
      </c>
      <c r="F85" s="11">
        <f t="shared" si="11"/>
        <v>0</v>
      </c>
      <c r="G85" s="11">
        <f>D85*Assumptions!$B$16</f>
        <v>0</v>
      </c>
      <c r="H85" s="11">
        <f>IF(OR(A85&lt;=Assumptions!$B$12,A85&gt;Assumptions!$B$14),0,MIN($E$6,D85))</f>
        <v>0</v>
      </c>
      <c r="I85" s="11">
        <f>IF(A85&gt;Assumptions!$B$14,0,MIN(SUMPRODUCT((Assumptions!$B$53:$B$57=A85)*Assumptions!$C$53:$C$57)*Assumptions!$B$50,D85-H85))</f>
        <v>0</v>
      </c>
      <c r="J85" s="11">
        <f t="shared" si="12"/>
        <v>0</v>
      </c>
      <c r="K85" s="11">
        <f t="shared" si="13"/>
        <v>0</v>
      </c>
      <c r="L85" s="12" t="str">
        <f>IF(OR(A85&gt;Assumptions!$B$14,(G85+H85)=0),"",F85/(G85+H85))</f>
        <v/>
      </c>
      <c r="M85" s="10" t="str">
        <f>IF(A85&gt;Assumptions!$B$14,"Closed",IF(A85&lt;=Assumptions!$B$12,"Moratorium",IF(D85=0,"Closed (Repaid Early)",IF(L85&lt;Assumptions!$B$11-0.005,"BREACH","PASS"))))</f>
        <v>Closed</v>
      </c>
      <c r="N85" s="2"/>
    </row>
    <row r="86" spans="1:14" ht="15" customHeight="1" x14ac:dyDescent="0.25">
      <c r="A86" s="13">
        <v>78</v>
      </c>
      <c r="B86" s="13">
        <f t="shared" si="10"/>
        <v>20</v>
      </c>
      <c r="C86" s="13" t="str">
        <f>IF(A86&gt;Assumptions!$B$14,"Closed",IF(A86&lt;=Assumptions!$B$12,"Moratorium","Repayment"))</f>
        <v>Closed</v>
      </c>
      <c r="D86" s="14">
        <f t="shared" si="14"/>
        <v>0</v>
      </c>
      <c r="E86" s="14">
        <f>IF(B86&gt;25,0,INDEX(Assumptions!$B$22:$B$46,B86))</f>
        <v>0</v>
      </c>
      <c r="F86" s="14">
        <f t="shared" si="11"/>
        <v>0</v>
      </c>
      <c r="G86" s="14">
        <f>D86*Assumptions!$B$16</f>
        <v>0</v>
      </c>
      <c r="H86" s="14">
        <f>IF(OR(A86&lt;=Assumptions!$B$12,A86&gt;Assumptions!$B$14),0,MIN($E$6,D86))</f>
        <v>0</v>
      </c>
      <c r="I86" s="14">
        <f>IF(A86&gt;Assumptions!$B$14,0,MIN(SUMPRODUCT((Assumptions!$B$53:$B$57=A86)*Assumptions!$C$53:$C$57)*Assumptions!$B$50,D86-H86))</f>
        <v>0</v>
      </c>
      <c r="J86" s="14">
        <f t="shared" si="12"/>
        <v>0</v>
      </c>
      <c r="K86" s="14">
        <f t="shared" si="13"/>
        <v>0</v>
      </c>
      <c r="L86" s="15" t="str">
        <f>IF(OR(A86&gt;Assumptions!$B$14,(G86+H86)=0),"",F86/(G86+H86))</f>
        <v/>
      </c>
      <c r="M86" s="13" t="str">
        <f>IF(A86&gt;Assumptions!$B$14,"Closed",IF(A86&lt;=Assumptions!$B$12,"Moratorium",IF(D86=0,"Closed (Repaid Early)",IF(L86&lt;Assumptions!$B$11-0.005,"BREACH","PASS"))))</f>
        <v>Closed</v>
      </c>
      <c r="N86" s="2"/>
    </row>
    <row r="87" spans="1:14" ht="15" customHeight="1" x14ac:dyDescent="0.25">
      <c r="A87" s="10">
        <v>79</v>
      </c>
      <c r="B87" s="10">
        <f t="shared" si="10"/>
        <v>20</v>
      </c>
      <c r="C87" s="10" t="str">
        <f>IF(A87&gt;Assumptions!$B$14,"Closed",IF(A87&lt;=Assumptions!$B$12,"Moratorium","Repayment"))</f>
        <v>Closed</v>
      </c>
      <c r="D87" s="11">
        <f t="shared" si="14"/>
        <v>0</v>
      </c>
      <c r="E87" s="11">
        <f>IF(B87&gt;25,0,INDEX(Assumptions!$B$22:$B$46,B87))</f>
        <v>0</v>
      </c>
      <c r="F87" s="11">
        <f t="shared" si="11"/>
        <v>0</v>
      </c>
      <c r="G87" s="11">
        <f>D87*Assumptions!$B$16</f>
        <v>0</v>
      </c>
      <c r="H87" s="11">
        <f>IF(OR(A87&lt;=Assumptions!$B$12,A87&gt;Assumptions!$B$14),0,MIN($E$6,D87))</f>
        <v>0</v>
      </c>
      <c r="I87" s="11">
        <f>IF(A87&gt;Assumptions!$B$14,0,MIN(SUMPRODUCT((Assumptions!$B$53:$B$57=A87)*Assumptions!$C$53:$C$57)*Assumptions!$B$50,D87-H87))</f>
        <v>0</v>
      </c>
      <c r="J87" s="11">
        <f t="shared" si="12"/>
        <v>0</v>
      </c>
      <c r="K87" s="11">
        <f t="shared" si="13"/>
        <v>0</v>
      </c>
      <c r="L87" s="12" t="str">
        <f>IF(OR(A87&gt;Assumptions!$B$14,(G87+H87)=0),"",F87/(G87+H87))</f>
        <v/>
      </c>
      <c r="M87" s="10" t="str">
        <f>IF(A87&gt;Assumptions!$B$14,"Closed",IF(A87&lt;=Assumptions!$B$12,"Moratorium",IF(D87=0,"Closed (Repaid Early)",IF(L87&lt;Assumptions!$B$11-0.005,"BREACH","PASS"))))</f>
        <v>Closed</v>
      </c>
      <c r="N87" s="2"/>
    </row>
    <row r="88" spans="1:14" ht="15" customHeight="1" x14ac:dyDescent="0.25">
      <c r="A88" s="13">
        <v>80</v>
      </c>
      <c r="B88" s="13">
        <f t="shared" si="10"/>
        <v>20</v>
      </c>
      <c r="C88" s="13" t="str">
        <f>IF(A88&gt;Assumptions!$B$14,"Closed",IF(A88&lt;=Assumptions!$B$12,"Moratorium","Repayment"))</f>
        <v>Closed</v>
      </c>
      <c r="D88" s="14">
        <f t="shared" si="14"/>
        <v>0</v>
      </c>
      <c r="E88" s="14">
        <f>IF(B88&gt;25,0,INDEX(Assumptions!$B$22:$B$46,B88))</f>
        <v>0</v>
      </c>
      <c r="F88" s="14">
        <f t="shared" si="11"/>
        <v>0</v>
      </c>
      <c r="G88" s="14">
        <f>D88*Assumptions!$B$16</f>
        <v>0</v>
      </c>
      <c r="H88" s="14">
        <f>IF(OR(A88&lt;=Assumptions!$B$12,A88&gt;Assumptions!$B$14),0,MIN($E$6,D88))</f>
        <v>0</v>
      </c>
      <c r="I88" s="14">
        <f>IF(A88&gt;Assumptions!$B$14,0,MIN(SUMPRODUCT((Assumptions!$B$53:$B$57=A88)*Assumptions!$C$53:$C$57)*Assumptions!$B$50,D88-H88))</f>
        <v>0</v>
      </c>
      <c r="J88" s="14">
        <f t="shared" si="12"/>
        <v>0</v>
      </c>
      <c r="K88" s="14">
        <f t="shared" si="13"/>
        <v>0</v>
      </c>
      <c r="L88" s="15" t="str">
        <f>IF(OR(A88&gt;Assumptions!$B$14,(G88+H88)=0),"",F88/(G88+H88))</f>
        <v/>
      </c>
      <c r="M88" s="13" t="str">
        <f>IF(A88&gt;Assumptions!$B$14,"Closed",IF(A88&lt;=Assumptions!$B$12,"Moratorium",IF(D88=0,"Closed (Repaid Early)",IF(L88&lt;Assumptions!$B$11-0.005,"BREACH","PASS"))))</f>
        <v>Closed</v>
      </c>
      <c r="N88" s="2"/>
    </row>
    <row r="89" spans="1:14" ht="15" customHeight="1" x14ac:dyDescent="0.25">
      <c r="A89" s="10">
        <v>81</v>
      </c>
      <c r="B89" s="10">
        <f t="shared" si="10"/>
        <v>21</v>
      </c>
      <c r="C89" s="10" t="str">
        <f>IF(A89&gt;Assumptions!$B$14,"Closed",IF(A89&lt;=Assumptions!$B$12,"Moratorium","Repayment"))</f>
        <v>Closed</v>
      </c>
      <c r="D89" s="11">
        <f t="shared" si="14"/>
        <v>0</v>
      </c>
      <c r="E89" s="11">
        <f>IF(B89&gt;25,0,INDEX(Assumptions!$B$22:$B$46,B89))</f>
        <v>0</v>
      </c>
      <c r="F89" s="11">
        <f t="shared" si="11"/>
        <v>0</v>
      </c>
      <c r="G89" s="11">
        <f>D89*Assumptions!$B$16</f>
        <v>0</v>
      </c>
      <c r="H89" s="11">
        <f>IF(OR(A89&lt;=Assumptions!$B$12,A89&gt;Assumptions!$B$14),0,MIN($E$6,D89))</f>
        <v>0</v>
      </c>
      <c r="I89" s="11">
        <f>IF(A89&gt;Assumptions!$B$14,0,MIN(SUMPRODUCT((Assumptions!$B$53:$B$57=A89)*Assumptions!$C$53:$C$57)*Assumptions!$B$50,D89-H89))</f>
        <v>0</v>
      </c>
      <c r="J89" s="11">
        <f t="shared" si="12"/>
        <v>0</v>
      </c>
      <c r="K89" s="11">
        <f t="shared" si="13"/>
        <v>0</v>
      </c>
      <c r="L89" s="12" t="str">
        <f>IF(OR(A89&gt;Assumptions!$B$14,(G89+H89)=0),"",F89/(G89+H89))</f>
        <v/>
      </c>
      <c r="M89" s="10" t="str">
        <f>IF(A89&gt;Assumptions!$B$14,"Closed",IF(A89&lt;=Assumptions!$B$12,"Moratorium",IF(D89=0,"Closed (Repaid Early)",IF(L89&lt;Assumptions!$B$11-0.005,"BREACH","PASS"))))</f>
        <v>Closed</v>
      </c>
      <c r="N89" s="2"/>
    </row>
    <row r="90" spans="1:14" ht="15" customHeight="1" x14ac:dyDescent="0.25">
      <c r="A90" s="13">
        <v>82</v>
      </c>
      <c r="B90" s="13">
        <f t="shared" si="10"/>
        <v>21</v>
      </c>
      <c r="C90" s="13" t="str">
        <f>IF(A90&gt;Assumptions!$B$14,"Closed",IF(A90&lt;=Assumptions!$B$12,"Moratorium","Repayment"))</f>
        <v>Closed</v>
      </c>
      <c r="D90" s="14">
        <f t="shared" si="14"/>
        <v>0</v>
      </c>
      <c r="E90" s="14">
        <f>IF(B90&gt;25,0,INDEX(Assumptions!$B$22:$B$46,B90))</f>
        <v>0</v>
      </c>
      <c r="F90" s="14">
        <f t="shared" si="11"/>
        <v>0</v>
      </c>
      <c r="G90" s="14">
        <f>D90*Assumptions!$B$16</f>
        <v>0</v>
      </c>
      <c r="H90" s="14">
        <f>IF(OR(A90&lt;=Assumptions!$B$12,A90&gt;Assumptions!$B$14),0,MIN($E$6,D90))</f>
        <v>0</v>
      </c>
      <c r="I90" s="14">
        <f>IF(A90&gt;Assumptions!$B$14,0,MIN(SUMPRODUCT((Assumptions!$B$53:$B$57=A90)*Assumptions!$C$53:$C$57)*Assumptions!$B$50,D90-H90))</f>
        <v>0</v>
      </c>
      <c r="J90" s="14">
        <f t="shared" si="12"/>
        <v>0</v>
      </c>
      <c r="K90" s="14">
        <f t="shared" si="13"/>
        <v>0</v>
      </c>
      <c r="L90" s="15" t="str">
        <f>IF(OR(A90&gt;Assumptions!$B$14,(G90+H90)=0),"",F90/(G90+H90))</f>
        <v/>
      </c>
      <c r="M90" s="13" t="str">
        <f>IF(A90&gt;Assumptions!$B$14,"Closed",IF(A90&lt;=Assumptions!$B$12,"Moratorium",IF(D90=0,"Closed (Repaid Early)",IF(L90&lt;Assumptions!$B$11-0.005,"BREACH","PASS"))))</f>
        <v>Closed</v>
      </c>
      <c r="N90" s="2"/>
    </row>
    <row r="91" spans="1:14" ht="15" customHeight="1" x14ac:dyDescent="0.25">
      <c r="A91" s="10">
        <v>83</v>
      </c>
      <c r="B91" s="10">
        <f t="shared" si="10"/>
        <v>21</v>
      </c>
      <c r="C91" s="10" t="str">
        <f>IF(A91&gt;Assumptions!$B$14,"Closed",IF(A91&lt;=Assumptions!$B$12,"Moratorium","Repayment"))</f>
        <v>Closed</v>
      </c>
      <c r="D91" s="11">
        <f t="shared" si="14"/>
        <v>0</v>
      </c>
      <c r="E91" s="11">
        <f>IF(B91&gt;25,0,INDEX(Assumptions!$B$22:$B$46,B91))</f>
        <v>0</v>
      </c>
      <c r="F91" s="11">
        <f t="shared" si="11"/>
        <v>0</v>
      </c>
      <c r="G91" s="11">
        <f>D91*Assumptions!$B$16</f>
        <v>0</v>
      </c>
      <c r="H91" s="11">
        <f>IF(OR(A91&lt;=Assumptions!$B$12,A91&gt;Assumptions!$B$14),0,MIN($E$6,D91))</f>
        <v>0</v>
      </c>
      <c r="I91" s="11">
        <f>IF(A91&gt;Assumptions!$B$14,0,MIN(SUMPRODUCT((Assumptions!$B$53:$B$57=A91)*Assumptions!$C$53:$C$57)*Assumptions!$B$50,D91-H91))</f>
        <v>0</v>
      </c>
      <c r="J91" s="11">
        <f t="shared" si="12"/>
        <v>0</v>
      </c>
      <c r="K91" s="11">
        <f t="shared" si="13"/>
        <v>0</v>
      </c>
      <c r="L91" s="12" t="str">
        <f>IF(OR(A91&gt;Assumptions!$B$14,(G91+H91)=0),"",F91/(G91+H91))</f>
        <v/>
      </c>
      <c r="M91" s="10" t="str">
        <f>IF(A91&gt;Assumptions!$B$14,"Closed",IF(A91&lt;=Assumptions!$B$12,"Moratorium",IF(D91=0,"Closed (Repaid Early)",IF(L91&lt;Assumptions!$B$11-0.005,"BREACH","PASS"))))</f>
        <v>Closed</v>
      </c>
      <c r="N91" s="2"/>
    </row>
    <row r="92" spans="1:14" ht="15" customHeight="1" x14ac:dyDescent="0.25">
      <c r="A92" s="13">
        <v>84</v>
      </c>
      <c r="B92" s="13">
        <f t="shared" si="10"/>
        <v>21</v>
      </c>
      <c r="C92" s="13" t="str">
        <f>IF(A92&gt;Assumptions!$B$14,"Closed",IF(A92&lt;=Assumptions!$B$12,"Moratorium","Repayment"))</f>
        <v>Closed</v>
      </c>
      <c r="D92" s="14">
        <f t="shared" si="14"/>
        <v>0</v>
      </c>
      <c r="E92" s="14">
        <f>IF(B92&gt;25,0,INDEX(Assumptions!$B$22:$B$46,B92))</f>
        <v>0</v>
      </c>
      <c r="F92" s="14">
        <f t="shared" si="11"/>
        <v>0</v>
      </c>
      <c r="G92" s="14">
        <f>D92*Assumptions!$B$16</f>
        <v>0</v>
      </c>
      <c r="H92" s="14">
        <f>IF(OR(A92&lt;=Assumptions!$B$12,A92&gt;Assumptions!$B$14),0,MIN($E$6,D92))</f>
        <v>0</v>
      </c>
      <c r="I92" s="14">
        <f>IF(A92&gt;Assumptions!$B$14,0,MIN(SUMPRODUCT((Assumptions!$B$53:$B$57=A92)*Assumptions!$C$53:$C$57)*Assumptions!$B$50,D92-H92))</f>
        <v>0</v>
      </c>
      <c r="J92" s="14">
        <f t="shared" si="12"/>
        <v>0</v>
      </c>
      <c r="K92" s="14">
        <f t="shared" si="13"/>
        <v>0</v>
      </c>
      <c r="L92" s="15" t="str">
        <f>IF(OR(A92&gt;Assumptions!$B$14,(G92+H92)=0),"",F92/(G92+H92))</f>
        <v/>
      </c>
      <c r="M92" s="13" t="str">
        <f>IF(A92&gt;Assumptions!$B$14,"Closed",IF(A92&lt;=Assumptions!$B$12,"Moratorium",IF(D92=0,"Closed (Repaid Early)",IF(L92&lt;Assumptions!$B$11-0.005,"BREACH","PASS"))))</f>
        <v>Closed</v>
      </c>
      <c r="N92" s="2"/>
    </row>
    <row r="93" spans="1:14" ht="15" customHeight="1" x14ac:dyDescent="0.25">
      <c r="A93" s="10">
        <v>85</v>
      </c>
      <c r="B93" s="10">
        <f t="shared" si="10"/>
        <v>22</v>
      </c>
      <c r="C93" s="10" t="str">
        <f>IF(A93&gt;Assumptions!$B$14,"Closed",IF(A93&lt;=Assumptions!$B$12,"Moratorium","Repayment"))</f>
        <v>Closed</v>
      </c>
      <c r="D93" s="11">
        <f t="shared" si="14"/>
        <v>0</v>
      </c>
      <c r="E93" s="11">
        <f>IF(B93&gt;25,0,INDEX(Assumptions!$B$22:$B$46,B93))</f>
        <v>0</v>
      </c>
      <c r="F93" s="11">
        <f t="shared" si="11"/>
        <v>0</v>
      </c>
      <c r="G93" s="11">
        <f>D93*Assumptions!$B$16</f>
        <v>0</v>
      </c>
      <c r="H93" s="11">
        <f>IF(OR(A93&lt;=Assumptions!$B$12,A93&gt;Assumptions!$B$14),0,MIN($E$6,D93))</f>
        <v>0</v>
      </c>
      <c r="I93" s="11">
        <f>IF(A93&gt;Assumptions!$B$14,0,MIN(SUMPRODUCT((Assumptions!$B$53:$B$57=A93)*Assumptions!$C$53:$C$57)*Assumptions!$B$50,D93-H93))</f>
        <v>0</v>
      </c>
      <c r="J93" s="11">
        <f t="shared" si="12"/>
        <v>0</v>
      </c>
      <c r="K93" s="11">
        <f t="shared" si="13"/>
        <v>0</v>
      </c>
      <c r="L93" s="12" t="str">
        <f>IF(OR(A93&gt;Assumptions!$B$14,(G93+H93)=0),"",F93/(G93+H93))</f>
        <v/>
      </c>
      <c r="M93" s="10" t="str">
        <f>IF(A93&gt;Assumptions!$B$14,"Closed",IF(A93&lt;=Assumptions!$B$12,"Moratorium",IF(D93=0,"Closed (Repaid Early)",IF(L93&lt;Assumptions!$B$11-0.005,"BREACH","PASS"))))</f>
        <v>Closed</v>
      </c>
      <c r="N93" s="2"/>
    </row>
    <row r="94" spans="1:14" ht="15" customHeight="1" x14ac:dyDescent="0.25">
      <c r="A94" s="13">
        <v>86</v>
      </c>
      <c r="B94" s="13">
        <f t="shared" si="10"/>
        <v>22</v>
      </c>
      <c r="C94" s="13" t="str">
        <f>IF(A94&gt;Assumptions!$B$14,"Closed",IF(A94&lt;=Assumptions!$B$12,"Moratorium","Repayment"))</f>
        <v>Closed</v>
      </c>
      <c r="D94" s="14">
        <f t="shared" si="14"/>
        <v>0</v>
      </c>
      <c r="E94" s="14">
        <f>IF(B94&gt;25,0,INDEX(Assumptions!$B$22:$B$46,B94))</f>
        <v>0</v>
      </c>
      <c r="F94" s="14">
        <f t="shared" si="11"/>
        <v>0</v>
      </c>
      <c r="G94" s="14">
        <f>D94*Assumptions!$B$16</f>
        <v>0</v>
      </c>
      <c r="H94" s="14">
        <f>IF(OR(A94&lt;=Assumptions!$B$12,A94&gt;Assumptions!$B$14),0,MIN($E$6,D94))</f>
        <v>0</v>
      </c>
      <c r="I94" s="14">
        <f>IF(A94&gt;Assumptions!$B$14,0,MIN(SUMPRODUCT((Assumptions!$B$53:$B$57=A94)*Assumptions!$C$53:$C$57)*Assumptions!$B$50,D94-H94))</f>
        <v>0</v>
      </c>
      <c r="J94" s="14">
        <f t="shared" si="12"/>
        <v>0</v>
      </c>
      <c r="K94" s="14">
        <f t="shared" si="13"/>
        <v>0</v>
      </c>
      <c r="L94" s="15" t="str">
        <f>IF(OR(A94&gt;Assumptions!$B$14,(G94+H94)=0),"",F94/(G94+H94))</f>
        <v/>
      </c>
      <c r="M94" s="13" t="str">
        <f>IF(A94&gt;Assumptions!$B$14,"Closed",IF(A94&lt;=Assumptions!$B$12,"Moratorium",IF(D94=0,"Closed (Repaid Early)",IF(L94&lt;Assumptions!$B$11-0.005,"BREACH","PASS"))))</f>
        <v>Closed</v>
      </c>
      <c r="N94" s="2"/>
    </row>
    <row r="95" spans="1:14" ht="15" customHeight="1" x14ac:dyDescent="0.25">
      <c r="A95" s="10">
        <v>87</v>
      </c>
      <c r="B95" s="10">
        <f t="shared" si="10"/>
        <v>22</v>
      </c>
      <c r="C95" s="10" t="str">
        <f>IF(A95&gt;Assumptions!$B$14,"Closed",IF(A95&lt;=Assumptions!$B$12,"Moratorium","Repayment"))</f>
        <v>Closed</v>
      </c>
      <c r="D95" s="11">
        <f t="shared" si="14"/>
        <v>0</v>
      </c>
      <c r="E95" s="11">
        <f>IF(B95&gt;25,0,INDEX(Assumptions!$B$22:$B$46,B95))</f>
        <v>0</v>
      </c>
      <c r="F95" s="11">
        <f t="shared" si="11"/>
        <v>0</v>
      </c>
      <c r="G95" s="11">
        <f>D95*Assumptions!$B$16</f>
        <v>0</v>
      </c>
      <c r="H95" s="11">
        <f>IF(OR(A95&lt;=Assumptions!$B$12,A95&gt;Assumptions!$B$14),0,MIN($E$6,D95))</f>
        <v>0</v>
      </c>
      <c r="I95" s="11">
        <f>IF(A95&gt;Assumptions!$B$14,0,MIN(SUMPRODUCT((Assumptions!$B$53:$B$57=A95)*Assumptions!$C$53:$C$57)*Assumptions!$B$50,D95-H95))</f>
        <v>0</v>
      </c>
      <c r="J95" s="11">
        <f t="shared" si="12"/>
        <v>0</v>
      </c>
      <c r="K95" s="11">
        <f t="shared" si="13"/>
        <v>0</v>
      </c>
      <c r="L95" s="12" t="str">
        <f>IF(OR(A95&gt;Assumptions!$B$14,(G95+H95)=0),"",F95/(G95+H95))</f>
        <v/>
      </c>
      <c r="M95" s="10" t="str">
        <f>IF(A95&gt;Assumptions!$B$14,"Closed",IF(A95&lt;=Assumptions!$B$12,"Moratorium",IF(D95=0,"Closed (Repaid Early)",IF(L95&lt;Assumptions!$B$11-0.005,"BREACH","PASS"))))</f>
        <v>Closed</v>
      </c>
      <c r="N95" s="2"/>
    </row>
    <row r="96" spans="1:14" ht="15" customHeight="1" x14ac:dyDescent="0.25">
      <c r="A96" s="13">
        <v>88</v>
      </c>
      <c r="B96" s="13">
        <f t="shared" si="10"/>
        <v>22</v>
      </c>
      <c r="C96" s="13" t="str">
        <f>IF(A96&gt;Assumptions!$B$14,"Closed",IF(A96&lt;=Assumptions!$B$12,"Moratorium","Repayment"))</f>
        <v>Closed</v>
      </c>
      <c r="D96" s="14">
        <f t="shared" si="14"/>
        <v>0</v>
      </c>
      <c r="E96" s="14">
        <f>IF(B96&gt;25,0,INDEX(Assumptions!$B$22:$B$46,B96))</f>
        <v>0</v>
      </c>
      <c r="F96" s="14">
        <f t="shared" si="11"/>
        <v>0</v>
      </c>
      <c r="G96" s="14">
        <f>D96*Assumptions!$B$16</f>
        <v>0</v>
      </c>
      <c r="H96" s="14">
        <f>IF(OR(A96&lt;=Assumptions!$B$12,A96&gt;Assumptions!$B$14),0,MIN($E$6,D96))</f>
        <v>0</v>
      </c>
      <c r="I96" s="14">
        <f>IF(A96&gt;Assumptions!$B$14,0,MIN(SUMPRODUCT((Assumptions!$B$53:$B$57=A96)*Assumptions!$C$53:$C$57)*Assumptions!$B$50,D96-H96))</f>
        <v>0</v>
      </c>
      <c r="J96" s="14">
        <f t="shared" si="12"/>
        <v>0</v>
      </c>
      <c r="K96" s="14">
        <f t="shared" si="13"/>
        <v>0</v>
      </c>
      <c r="L96" s="15" t="str">
        <f>IF(OR(A96&gt;Assumptions!$B$14,(G96+H96)=0),"",F96/(G96+H96))</f>
        <v/>
      </c>
      <c r="M96" s="13" t="str">
        <f>IF(A96&gt;Assumptions!$B$14,"Closed",IF(A96&lt;=Assumptions!$B$12,"Moratorium",IF(D96=0,"Closed (Repaid Early)",IF(L96&lt;Assumptions!$B$11-0.005,"BREACH","PASS"))))</f>
        <v>Closed</v>
      </c>
      <c r="N96" s="2"/>
    </row>
    <row r="97" spans="1:14" ht="15" customHeight="1" x14ac:dyDescent="0.25">
      <c r="A97" s="10">
        <v>89</v>
      </c>
      <c r="B97" s="10">
        <f t="shared" si="10"/>
        <v>23</v>
      </c>
      <c r="C97" s="10" t="str">
        <f>IF(A97&gt;Assumptions!$B$14,"Closed",IF(A97&lt;=Assumptions!$B$12,"Moratorium","Repayment"))</f>
        <v>Closed</v>
      </c>
      <c r="D97" s="11">
        <f t="shared" si="14"/>
        <v>0</v>
      </c>
      <c r="E97" s="11">
        <f>IF(B97&gt;25,0,INDEX(Assumptions!$B$22:$B$46,B97))</f>
        <v>0</v>
      </c>
      <c r="F97" s="11">
        <f t="shared" si="11"/>
        <v>0</v>
      </c>
      <c r="G97" s="11">
        <f>D97*Assumptions!$B$16</f>
        <v>0</v>
      </c>
      <c r="H97" s="11">
        <f>IF(OR(A97&lt;=Assumptions!$B$12,A97&gt;Assumptions!$B$14),0,MIN($E$6,D97))</f>
        <v>0</v>
      </c>
      <c r="I97" s="11">
        <f>IF(A97&gt;Assumptions!$B$14,0,MIN(SUMPRODUCT((Assumptions!$B$53:$B$57=A97)*Assumptions!$C$53:$C$57)*Assumptions!$B$50,D97-H97))</f>
        <v>0</v>
      </c>
      <c r="J97" s="11">
        <f t="shared" si="12"/>
        <v>0</v>
      </c>
      <c r="K97" s="11">
        <f t="shared" si="13"/>
        <v>0</v>
      </c>
      <c r="L97" s="12" t="str">
        <f>IF(OR(A97&gt;Assumptions!$B$14,(G97+H97)=0),"",F97/(G97+H97))</f>
        <v/>
      </c>
      <c r="M97" s="10" t="str">
        <f>IF(A97&gt;Assumptions!$B$14,"Closed",IF(A97&lt;=Assumptions!$B$12,"Moratorium",IF(D97=0,"Closed (Repaid Early)",IF(L97&lt;Assumptions!$B$11-0.005,"BREACH","PASS"))))</f>
        <v>Closed</v>
      </c>
      <c r="N97" s="2"/>
    </row>
    <row r="98" spans="1:14" ht="15" customHeight="1" x14ac:dyDescent="0.25">
      <c r="A98" s="13">
        <v>90</v>
      </c>
      <c r="B98" s="13">
        <f t="shared" si="10"/>
        <v>23</v>
      </c>
      <c r="C98" s="13" t="str">
        <f>IF(A98&gt;Assumptions!$B$14,"Closed",IF(A98&lt;=Assumptions!$B$12,"Moratorium","Repayment"))</f>
        <v>Closed</v>
      </c>
      <c r="D98" s="14">
        <f t="shared" si="14"/>
        <v>0</v>
      </c>
      <c r="E98" s="14">
        <f>IF(B98&gt;25,0,INDEX(Assumptions!$B$22:$B$46,B98))</f>
        <v>0</v>
      </c>
      <c r="F98" s="14">
        <f t="shared" si="11"/>
        <v>0</v>
      </c>
      <c r="G98" s="14">
        <f>D98*Assumptions!$B$16</f>
        <v>0</v>
      </c>
      <c r="H98" s="14">
        <f>IF(OR(A98&lt;=Assumptions!$B$12,A98&gt;Assumptions!$B$14),0,MIN($E$6,D98))</f>
        <v>0</v>
      </c>
      <c r="I98" s="14">
        <f>IF(A98&gt;Assumptions!$B$14,0,MIN(SUMPRODUCT((Assumptions!$B$53:$B$57=A98)*Assumptions!$C$53:$C$57)*Assumptions!$B$50,D98-H98))</f>
        <v>0</v>
      </c>
      <c r="J98" s="14">
        <f t="shared" si="12"/>
        <v>0</v>
      </c>
      <c r="K98" s="14">
        <f t="shared" si="13"/>
        <v>0</v>
      </c>
      <c r="L98" s="15" t="str">
        <f>IF(OR(A98&gt;Assumptions!$B$14,(G98+H98)=0),"",F98/(G98+H98))</f>
        <v/>
      </c>
      <c r="M98" s="13" t="str">
        <f>IF(A98&gt;Assumptions!$B$14,"Closed",IF(A98&lt;=Assumptions!$B$12,"Moratorium",IF(D98=0,"Closed (Repaid Early)",IF(L98&lt;Assumptions!$B$11-0.005,"BREACH","PASS"))))</f>
        <v>Closed</v>
      </c>
      <c r="N98" s="2"/>
    </row>
    <row r="99" spans="1:14" ht="15" customHeight="1" x14ac:dyDescent="0.25">
      <c r="A99" s="10">
        <v>91</v>
      </c>
      <c r="B99" s="10">
        <f t="shared" si="10"/>
        <v>23</v>
      </c>
      <c r="C99" s="10" t="str">
        <f>IF(A99&gt;Assumptions!$B$14,"Closed",IF(A99&lt;=Assumptions!$B$12,"Moratorium","Repayment"))</f>
        <v>Closed</v>
      </c>
      <c r="D99" s="11">
        <f t="shared" si="14"/>
        <v>0</v>
      </c>
      <c r="E99" s="11">
        <f>IF(B99&gt;25,0,INDEX(Assumptions!$B$22:$B$46,B99))</f>
        <v>0</v>
      </c>
      <c r="F99" s="11">
        <f t="shared" si="11"/>
        <v>0</v>
      </c>
      <c r="G99" s="11">
        <f>D99*Assumptions!$B$16</f>
        <v>0</v>
      </c>
      <c r="H99" s="11">
        <f>IF(OR(A99&lt;=Assumptions!$B$12,A99&gt;Assumptions!$B$14),0,MIN($E$6,D99))</f>
        <v>0</v>
      </c>
      <c r="I99" s="11">
        <f>IF(A99&gt;Assumptions!$B$14,0,MIN(SUMPRODUCT((Assumptions!$B$53:$B$57=A99)*Assumptions!$C$53:$C$57)*Assumptions!$B$50,D99-H99))</f>
        <v>0</v>
      </c>
      <c r="J99" s="11">
        <f t="shared" si="12"/>
        <v>0</v>
      </c>
      <c r="K99" s="11">
        <f t="shared" si="13"/>
        <v>0</v>
      </c>
      <c r="L99" s="12" t="str">
        <f>IF(OR(A99&gt;Assumptions!$B$14,(G99+H99)=0),"",F99/(G99+H99))</f>
        <v/>
      </c>
      <c r="M99" s="10" t="str">
        <f>IF(A99&gt;Assumptions!$B$14,"Closed",IF(A99&lt;=Assumptions!$B$12,"Moratorium",IF(D99=0,"Closed (Repaid Early)",IF(L99&lt;Assumptions!$B$11-0.005,"BREACH","PASS"))))</f>
        <v>Closed</v>
      </c>
      <c r="N99" s="2"/>
    </row>
    <row r="100" spans="1:14" ht="15" customHeight="1" x14ac:dyDescent="0.25">
      <c r="A100" s="13">
        <v>92</v>
      </c>
      <c r="B100" s="13">
        <f t="shared" si="10"/>
        <v>23</v>
      </c>
      <c r="C100" s="13" t="str">
        <f>IF(A100&gt;Assumptions!$B$14,"Closed",IF(A100&lt;=Assumptions!$B$12,"Moratorium","Repayment"))</f>
        <v>Closed</v>
      </c>
      <c r="D100" s="14">
        <f t="shared" si="14"/>
        <v>0</v>
      </c>
      <c r="E100" s="14">
        <f>IF(B100&gt;25,0,INDEX(Assumptions!$B$22:$B$46,B100))</f>
        <v>0</v>
      </c>
      <c r="F100" s="14">
        <f t="shared" si="11"/>
        <v>0</v>
      </c>
      <c r="G100" s="14">
        <f>D100*Assumptions!$B$16</f>
        <v>0</v>
      </c>
      <c r="H100" s="14">
        <f>IF(OR(A100&lt;=Assumptions!$B$12,A100&gt;Assumptions!$B$14),0,MIN($E$6,D100))</f>
        <v>0</v>
      </c>
      <c r="I100" s="14">
        <f>IF(A100&gt;Assumptions!$B$14,0,MIN(SUMPRODUCT((Assumptions!$B$53:$B$57=A100)*Assumptions!$C$53:$C$57)*Assumptions!$B$50,D100-H100))</f>
        <v>0</v>
      </c>
      <c r="J100" s="14">
        <f t="shared" si="12"/>
        <v>0</v>
      </c>
      <c r="K100" s="14">
        <f t="shared" si="13"/>
        <v>0</v>
      </c>
      <c r="L100" s="15" t="str">
        <f>IF(OR(A100&gt;Assumptions!$B$14,(G100+H100)=0),"",F100/(G100+H100))</f>
        <v/>
      </c>
      <c r="M100" s="13" t="str">
        <f>IF(A100&gt;Assumptions!$B$14,"Closed",IF(A100&lt;=Assumptions!$B$12,"Moratorium",IF(D100=0,"Closed (Repaid Early)",IF(L100&lt;Assumptions!$B$11-0.005,"BREACH","PASS"))))</f>
        <v>Closed</v>
      </c>
      <c r="N100" s="2"/>
    </row>
    <row r="101" spans="1:14" ht="15" customHeight="1" x14ac:dyDescent="0.25">
      <c r="A101" s="10">
        <v>93</v>
      </c>
      <c r="B101" s="10">
        <f t="shared" si="10"/>
        <v>24</v>
      </c>
      <c r="C101" s="10" t="str">
        <f>IF(A101&gt;Assumptions!$B$14,"Closed",IF(A101&lt;=Assumptions!$B$12,"Moratorium","Repayment"))</f>
        <v>Closed</v>
      </c>
      <c r="D101" s="11">
        <f t="shared" si="14"/>
        <v>0</v>
      </c>
      <c r="E101" s="11">
        <f>IF(B101&gt;25,0,INDEX(Assumptions!$B$22:$B$46,B101))</f>
        <v>0</v>
      </c>
      <c r="F101" s="11">
        <f t="shared" si="11"/>
        <v>0</v>
      </c>
      <c r="G101" s="11">
        <f>D101*Assumptions!$B$16</f>
        <v>0</v>
      </c>
      <c r="H101" s="11">
        <f>IF(OR(A101&lt;=Assumptions!$B$12,A101&gt;Assumptions!$B$14),0,MIN($E$6,D101))</f>
        <v>0</v>
      </c>
      <c r="I101" s="11">
        <f>IF(A101&gt;Assumptions!$B$14,0,MIN(SUMPRODUCT((Assumptions!$B$53:$B$57=A101)*Assumptions!$C$53:$C$57)*Assumptions!$B$50,D101-H101))</f>
        <v>0</v>
      </c>
      <c r="J101" s="11">
        <f t="shared" si="12"/>
        <v>0</v>
      </c>
      <c r="K101" s="11">
        <f t="shared" si="13"/>
        <v>0</v>
      </c>
      <c r="L101" s="12" t="str">
        <f>IF(OR(A101&gt;Assumptions!$B$14,(G101+H101)=0),"",F101/(G101+H101))</f>
        <v/>
      </c>
      <c r="M101" s="10" t="str">
        <f>IF(A101&gt;Assumptions!$B$14,"Closed",IF(A101&lt;=Assumptions!$B$12,"Moratorium",IF(D101=0,"Closed (Repaid Early)",IF(L101&lt;Assumptions!$B$11-0.005,"BREACH","PASS"))))</f>
        <v>Closed</v>
      </c>
      <c r="N101" s="2"/>
    </row>
    <row r="102" spans="1:14" ht="15" customHeight="1" x14ac:dyDescent="0.25">
      <c r="A102" s="13">
        <v>94</v>
      </c>
      <c r="B102" s="13">
        <f t="shared" si="10"/>
        <v>24</v>
      </c>
      <c r="C102" s="13" t="str">
        <f>IF(A102&gt;Assumptions!$B$14,"Closed",IF(A102&lt;=Assumptions!$B$12,"Moratorium","Repayment"))</f>
        <v>Closed</v>
      </c>
      <c r="D102" s="14">
        <f t="shared" si="14"/>
        <v>0</v>
      </c>
      <c r="E102" s="14">
        <f>IF(B102&gt;25,0,INDEX(Assumptions!$B$22:$B$46,B102))</f>
        <v>0</v>
      </c>
      <c r="F102" s="14">
        <f t="shared" si="11"/>
        <v>0</v>
      </c>
      <c r="G102" s="14">
        <f>D102*Assumptions!$B$16</f>
        <v>0</v>
      </c>
      <c r="H102" s="14">
        <f>IF(OR(A102&lt;=Assumptions!$B$12,A102&gt;Assumptions!$B$14),0,MIN($E$6,D102))</f>
        <v>0</v>
      </c>
      <c r="I102" s="14">
        <f>IF(A102&gt;Assumptions!$B$14,0,MIN(SUMPRODUCT((Assumptions!$B$53:$B$57=A102)*Assumptions!$C$53:$C$57)*Assumptions!$B$50,D102-H102))</f>
        <v>0</v>
      </c>
      <c r="J102" s="14">
        <f t="shared" si="12"/>
        <v>0</v>
      </c>
      <c r="K102" s="14">
        <f t="shared" si="13"/>
        <v>0</v>
      </c>
      <c r="L102" s="15" t="str">
        <f>IF(OR(A102&gt;Assumptions!$B$14,(G102+H102)=0),"",F102/(G102+H102))</f>
        <v/>
      </c>
      <c r="M102" s="13" t="str">
        <f>IF(A102&gt;Assumptions!$B$14,"Closed",IF(A102&lt;=Assumptions!$B$12,"Moratorium",IF(D102=0,"Closed (Repaid Early)",IF(L102&lt;Assumptions!$B$11-0.005,"BREACH","PASS"))))</f>
        <v>Closed</v>
      </c>
      <c r="N102" s="2"/>
    </row>
    <row r="103" spans="1:14" ht="15" customHeight="1" x14ac:dyDescent="0.25">
      <c r="A103" s="10">
        <v>95</v>
      </c>
      <c r="B103" s="10">
        <f t="shared" si="10"/>
        <v>24</v>
      </c>
      <c r="C103" s="10" t="str">
        <f>IF(A103&gt;Assumptions!$B$14,"Closed",IF(A103&lt;=Assumptions!$B$12,"Moratorium","Repayment"))</f>
        <v>Closed</v>
      </c>
      <c r="D103" s="11">
        <f t="shared" si="14"/>
        <v>0</v>
      </c>
      <c r="E103" s="11">
        <f>IF(B103&gt;25,0,INDEX(Assumptions!$B$22:$B$46,B103))</f>
        <v>0</v>
      </c>
      <c r="F103" s="11">
        <f t="shared" si="11"/>
        <v>0</v>
      </c>
      <c r="G103" s="11">
        <f>D103*Assumptions!$B$16</f>
        <v>0</v>
      </c>
      <c r="H103" s="11">
        <f>IF(OR(A103&lt;=Assumptions!$B$12,A103&gt;Assumptions!$B$14),0,MIN($E$6,D103))</f>
        <v>0</v>
      </c>
      <c r="I103" s="11">
        <f>IF(A103&gt;Assumptions!$B$14,0,MIN(SUMPRODUCT((Assumptions!$B$53:$B$57=A103)*Assumptions!$C$53:$C$57)*Assumptions!$B$50,D103-H103))</f>
        <v>0</v>
      </c>
      <c r="J103" s="11">
        <f t="shared" si="12"/>
        <v>0</v>
      </c>
      <c r="K103" s="11">
        <f t="shared" si="13"/>
        <v>0</v>
      </c>
      <c r="L103" s="12" t="str">
        <f>IF(OR(A103&gt;Assumptions!$B$14,(G103+H103)=0),"",F103/(G103+H103))</f>
        <v/>
      </c>
      <c r="M103" s="10" t="str">
        <f>IF(A103&gt;Assumptions!$B$14,"Closed",IF(A103&lt;=Assumptions!$B$12,"Moratorium",IF(D103=0,"Closed (Repaid Early)",IF(L103&lt;Assumptions!$B$11-0.005,"BREACH","PASS"))))</f>
        <v>Closed</v>
      </c>
      <c r="N103" s="2"/>
    </row>
    <row r="104" spans="1:14" ht="15" customHeight="1" x14ac:dyDescent="0.25">
      <c r="A104" s="13">
        <v>96</v>
      </c>
      <c r="B104" s="13">
        <f t="shared" si="10"/>
        <v>24</v>
      </c>
      <c r="C104" s="13" t="str">
        <f>IF(A104&gt;Assumptions!$B$14,"Closed",IF(A104&lt;=Assumptions!$B$12,"Moratorium","Repayment"))</f>
        <v>Closed</v>
      </c>
      <c r="D104" s="14">
        <f t="shared" si="14"/>
        <v>0</v>
      </c>
      <c r="E104" s="14">
        <f>IF(B104&gt;25,0,INDEX(Assumptions!$B$22:$B$46,B104))</f>
        <v>0</v>
      </c>
      <c r="F104" s="14">
        <f t="shared" si="11"/>
        <v>0</v>
      </c>
      <c r="G104" s="14">
        <f>D104*Assumptions!$B$16</f>
        <v>0</v>
      </c>
      <c r="H104" s="14">
        <f>IF(OR(A104&lt;=Assumptions!$B$12,A104&gt;Assumptions!$B$14),0,MIN($E$6,D104))</f>
        <v>0</v>
      </c>
      <c r="I104" s="14">
        <f>IF(A104&gt;Assumptions!$B$14,0,MIN(SUMPRODUCT((Assumptions!$B$53:$B$57=A104)*Assumptions!$C$53:$C$57)*Assumptions!$B$50,D104-H104))</f>
        <v>0</v>
      </c>
      <c r="J104" s="14">
        <f t="shared" si="12"/>
        <v>0</v>
      </c>
      <c r="K104" s="14">
        <f t="shared" si="13"/>
        <v>0</v>
      </c>
      <c r="L104" s="15" t="str">
        <f>IF(OR(A104&gt;Assumptions!$B$14,(G104+H104)=0),"",F104/(G104+H104))</f>
        <v/>
      </c>
      <c r="M104" s="13" t="str">
        <f>IF(A104&gt;Assumptions!$B$14,"Closed",IF(A104&lt;=Assumptions!$B$12,"Moratorium",IF(D104=0,"Closed (Repaid Early)",IF(L104&lt;Assumptions!$B$11-0.005,"BREACH","PASS"))))</f>
        <v>Closed</v>
      </c>
      <c r="N104" s="2"/>
    </row>
    <row r="105" spans="1:14" ht="15" customHeight="1" x14ac:dyDescent="0.25">
      <c r="A105" s="10">
        <v>97</v>
      </c>
      <c r="B105" s="10">
        <f t="shared" ref="B105:B108" si="15">ROUNDUP(A105/4,0)</f>
        <v>25</v>
      </c>
      <c r="C105" s="10" t="str">
        <f>IF(A105&gt;Assumptions!$B$14,"Closed",IF(A105&lt;=Assumptions!$B$12,"Moratorium","Repayment"))</f>
        <v>Closed</v>
      </c>
      <c r="D105" s="11">
        <f t="shared" si="14"/>
        <v>0</v>
      </c>
      <c r="E105" s="11">
        <f>IF(B105&gt;25,0,INDEX(Assumptions!$B$22:$B$46,B105))</f>
        <v>0</v>
      </c>
      <c r="F105" s="11">
        <f t="shared" ref="F105:F108" si="16">E105/4</f>
        <v>0</v>
      </c>
      <c r="G105" s="11">
        <f>D105*Assumptions!$B$16</f>
        <v>0</v>
      </c>
      <c r="H105" s="11">
        <f>IF(OR(A105&lt;=Assumptions!$B$12,A105&gt;Assumptions!$B$14),0,MIN($E$6,D105))</f>
        <v>0</v>
      </c>
      <c r="I105" s="11">
        <f>IF(A105&gt;Assumptions!$B$14,0,MIN(SUMPRODUCT((Assumptions!$B$53:$B$57=A105)*Assumptions!$C$53:$C$57)*Assumptions!$B$50,D105-H105))</f>
        <v>0</v>
      </c>
      <c r="J105" s="11">
        <f t="shared" ref="J105:J108" si="17">H105+I105</f>
        <v>0</v>
      </c>
      <c r="K105" s="11">
        <f t="shared" ref="K105:K108" si="18">D105-J105</f>
        <v>0</v>
      </c>
      <c r="L105" s="12" t="str">
        <f>IF(OR(A105&gt;Assumptions!$B$14,(G105+H105)=0),"",F105/(G105+H105))</f>
        <v/>
      </c>
      <c r="M105" s="10" t="str">
        <f>IF(A105&gt;Assumptions!$B$14,"Closed",IF(A105&lt;=Assumptions!$B$12,"Moratorium",IF(D105=0,"Closed (Repaid Early)",IF(L105&lt;Assumptions!$B$11-0.005,"BREACH","PASS"))))</f>
        <v>Closed</v>
      </c>
      <c r="N105" s="2"/>
    </row>
    <row r="106" spans="1:14" ht="15" customHeight="1" x14ac:dyDescent="0.25">
      <c r="A106" s="13">
        <v>98</v>
      </c>
      <c r="B106" s="13">
        <f t="shared" si="15"/>
        <v>25</v>
      </c>
      <c r="C106" s="13" t="str">
        <f>IF(A106&gt;Assumptions!$B$14,"Closed",IF(A106&lt;=Assumptions!$B$12,"Moratorium","Repayment"))</f>
        <v>Closed</v>
      </c>
      <c r="D106" s="14">
        <f t="shared" si="14"/>
        <v>0</v>
      </c>
      <c r="E106" s="14">
        <f>IF(B106&gt;25,0,INDEX(Assumptions!$B$22:$B$46,B106))</f>
        <v>0</v>
      </c>
      <c r="F106" s="14">
        <f t="shared" si="16"/>
        <v>0</v>
      </c>
      <c r="G106" s="14">
        <f>D106*Assumptions!$B$16</f>
        <v>0</v>
      </c>
      <c r="H106" s="14">
        <f>IF(OR(A106&lt;=Assumptions!$B$12,A106&gt;Assumptions!$B$14),0,MIN($E$6,D106))</f>
        <v>0</v>
      </c>
      <c r="I106" s="14">
        <f>IF(A106&gt;Assumptions!$B$14,0,MIN(SUMPRODUCT((Assumptions!$B$53:$B$57=A106)*Assumptions!$C$53:$C$57)*Assumptions!$B$50,D106-H106))</f>
        <v>0</v>
      </c>
      <c r="J106" s="14">
        <f t="shared" si="17"/>
        <v>0</v>
      </c>
      <c r="K106" s="14">
        <f t="shared" si="18"/>
        <v>0</v>
      </c>
      <c r="L106" s="15" t="str">
        <f>IF(OR(A106&gt;Assumptions!$B$14,(G106+H106)=0),"",F106/(G106+H106))</f>
        <v/>
      </c>
      <c r="M106" s="13" t="str">
        <f>IF(A106&gt;Assumptions!$B$14,"Closed",IF(A106&lt;=Assumptions!$B$12,"Moratorium",IF(D106=0,"Closed (Repaid Early)",IF(L106&lt;Assumptions!$B$11-0.005,"BREACH","PASS"))))</f>
        <v>Closed</v>
      </c>
      <c r="N106" s="2"/>
    </row>
    <row r="107" spans="1:14" ht="15" customHeight="1" x14ac:dyDescent="0.25">
      <c r="A107" s="10">
        <v>99</v>
      </c>
      <c r="B107" s="10">
        <f t="shared" si="15"/>
        <v>25</v>
      </c>
      <c r="C107" s="10" t="str">
        <f>IF(A107&gt;Assumptions!$B$14,"Closed",IF(A107&lt;=Assumptions!$B$12,"Moratorium","Repayment"))</f>
        <v>Closed</v>
      </c>
      <c r="D107" s="11">
        <f t="shared" si="14"/>
        <v>0</v>
      </c>
      <c r="E107" s="11">
        <f>IF(B107&gt;25,0,INDEX(Assumptions!$B$22:$B$46,B107))</f>
        <v>0</v>
      </c>
      <c r="F107" s="11">
        <f t="shared" si="16"/>
        <v>0</v>
      </c>
      <c r="G107" s="11">
        <f>D107*Assumptions!$B$16</f>
        <v>0</v>
      </c>
      <c r="H107" s="11">
        <f>IF(OR(A107&lt;=Assumptions!$B$12,A107&gt;Assumptions!$B$14),0,MIN($E$6,D107))</f>
        <v>0</v>
      </c>
      <c r="I107" s="11">
        <f>IF(A107&gt;Assumptions!$B$14,0,MIN(SUMPRODUCT((Assumptions!$B$53:$B$57=A107)*Assumptions!$C$53:$C$57)*Assumptions!$B$50,D107-H107))</f>
        <v>0</v>
      </c>
      <c r="J107" s="11">
        <f t="shared" si="17"/>
        <v>0</v>
      </c>
      <c r="K107" s="11">
        <f t="shared" si="18"/>
        <v>0</v>
      </c>
      <c r="L107" s="12" t="str">
        <f>IF(OR(A107&gt;Assumptions!$B$14,(G107+H107)=0),"",F107/(G107+H107))</f>
        <v/>
      </c>
      <c r="M107" s="10" t="str">
        <f>IF(A107&gt;Assumptions!$B$14,"Closed",IF(A107&lt;=Assumptions!$B$12,"Moratorium",IF(D107=0,"Closed (Repaid Early)",IF(L107&lt;Assumptions!$B$11-0.005,"BREACH","PASS"))))</f>
        <v>Closed</v>
      </c>
      <c r="N107" s="2"/>
    </row>
    <row r="108" spans="1:14" ht="15" customHeight="1" x14ac:dyDescent="0.25">
      <c r="A108" s="13">
        <v>100</v>
      </c>
      <c r="B108" s="13">
        <f t="shared" si="15"/>
        <v>25</v>
      </c>
      <c r="C108" s="13" t="str">
        <f>IF(A108&gt;Assumptions!$B$14,"Closed",IF(A108&lt;=Assumptions!$B$12,"Moratorium","Repayment"))</f>
        <v>Closed</v>
      </c>
      <c r="D108" s="14">
        <f t="shared" si="14"/>
        <v>0</v>
      </c>
      <c r="E108" s="14">
        <f>IF(B108&gt;25,0,INDEX(Assumptions!$B$22:$B$46,B108))</f>
        <v>0</v>
      </c>
      <c r="F108" s="14">
        <f t="shared" si="16"/>
        <v>0</v>
      </c>
      <c r="G108" s="14">
        <f>D108*Assumptions!$B$16</f>
        <v>0</v>
      </c>
      <c r="H108" s="14">
        <f>IF(OR(A108&lt;=Assumptions!$B$12,A108&gt;Assumptions!$B$14),0,MIN($E$6,D108))</f>
        <v>0</v>
      </c>
      <c r="I108" s="14">
        <f>IF(A108&gt;Assumptions!$B$14,0,MIN(SUMPRODUCT((Assumptions!$B$53:$B$57=A108)*Assumptions!$C$53:$C$57)*Assumptions!$B$50,D108-H108))</f>
        <v>0</v>
      </c>
      <c r="J108" s="14">
        <f t="shared" si="17"/>
        <v>0</v>
      </c>
      <c r="K108" s="14">
        <f t="shared" si="18"/>
        <v>0</v>
      </c>
      <c r="L108" s="15" t="str">
        <f>IF(OR(A108&gt;Assumptions!$B$14,(G108+H108)=0),"",F108/(G108+H108))</f>
        <v/>
      </c>
      <c r="M108" s="13" t="str">
        <f>IF(A108&gt;Assumptions!$B$14,"Closed",IF(A108&lt;=Assumptions!$B$12,"Moratorium",IF(D108=0,"Closed (Repaid Early)",IF(L108&lt;Assumptions!$B$11-0.005,"BREACH","PASS"))))</f>
        <v>Closed</v>
      </c>
      <c r="N108" s="2"/>
    </row>
    <row r="109" spans="1:14" ht="15" customHeight="1" x14ac:dyDescent="0.25">
      <c r="A109" s="16" t="s">
        <v>102</v>
      </c>
      <c r="B109" s="16"/>
      <c r="C109" s="16"/>
      <c r="D109" s="16"/>
      <c r="E109" s="16"/>
      <c r="F109" s="16"/>
      <c r="G109" s="17">
        <f>SUM(G9:G108)</f>
        <v>177.35786999999982</v>
      </c>
      <c r="H109" s="17">
        <f>SUM(H9:H108)</f>
        <v>281.75999999999993</v>
      </c>
      <c r="I109" s="17">
        <f>SUM(I9:I108)</f>
        <v>90</v>
      </c>
      <c r="J109" s="17">
        <f>SUM(J9:J108)</f>
        <v>371.76</v>
      </c>
      <c r="K109" s="17">
        <f>K108</f>
        <v>0</v>
      </c>
      <c r="L109" s="16"/>
      <c r="M109" s="16"/>
      <c r="N109" s="2"/>
    </row>
    <row r="110" spans="1:14" x14ac:dyDescent="0.25">
      <c r="A110" s="2"/>
      <c r="B110" s="2"/>
      <c r="C110" s="2"/>
      <c r="D110" s="2"/>
      <c r="E110" s="2"/>
      <c r="F110" s="2"/>
      <c r="G110" s="2"/>
      <c r="H110" s="2"/>
      <c r="I110" s="2"/>
      <c r="J110" s="2"/>
      <c r="K110" s="2"/>
      <c r="L110" s="2"/>
      <c r="M110" s="2"/>
      <c r="N110" s="2"/>
    </row>
    <row r="111" spans="1:14" ht="39.75" customHeight="1" x14ac:dyDescent="0.25">
      <c r="A111" s="87" t="s">
        <v>127</v>
      </c>
      <c r="B111" s="87"/>
      <c r="C111" s="87"/>
      <c r="D111" s="87"/>
      <c r="E111" s="87"/>
      <c r="F111" s="87"/>
      <c r="G111" s="87"/>
      <c r="H111" s="87"/>
      <c r="I111" s="87"/>
      <c r="J111" s="87"/>
      <c r="K111" s="87"/>
      <c r="L111" s="87"/>
      <c r="M111" s="87"/>
      <c r="N111" s="2"/>
    </row>
    <row r="112" spans="1:14" x14ac:dyDescent="0.25">
      <c r="A112" s="2"/>
      <c r="B112" s="2"/>
      <c r="C112" s="2"/>
      <c r="D112" s="2"/>
      <c r="E112" s="2"/>
      <c r="F112" s="2"/>
      <c r="G112" s="2"/>
      <c r="H112" s="2"/>
      <c r="I112" s="2"/>
      <c r="J112" s="2"/>
      <c r="K112" s="2"/>
      <c r="L112" s="2"/>
      <c r="M112" s="2"/>
      <c r="N112" s="2"/>
    </row>
    <row r="113" spans="1:14" x14ac:dyDescent="0.25">
      <c r="A113" s="2"/>
      <c r="B113" s="2"/>
      <c r="C113" s="2"/>
      <c r="D113" s="2"/>
      <c r="E113" s="2"/>
      <c r="F113" s="2"/>
      <c r="G113" s="2"/>
      <c r="H113" s="2"/>
      <c r="I113" s="2"/>
      <c r="J113" s="2"/>
      <c r="K113" s="2"/>
      <c r="L113" s="2"/>
      <c r="M113" s="2"/>
      <c r="N113" s="2"/>
    </row>
    <row r="114" spans="1:14" x14ac:dyDescent="0.25">
      <c r="A114" s="2"/>
      <c r="B114" s="2"/>
      <c r="C114" s="2"/>
      <c r="D114" s="2"/>
      <c r="E114" s="2"/>
      <c r="F114" s="2"/>
      <c r="G114" s="2"/>
      <c r="H114" s="2"/>
      <c r="I114" s="2"/>
      <c r="J114" s="2"/>
      <c r="K114" s="2"/>
      <c r="L114" s="2"/>
      <c r="M114" s="2"/>
      <c r="N114" s="2"/>
    </row>
  </sheetData>
  <mergeCells count="4">
    <mergeCell ref="A2:N2"/>
    <mergeCell ref="A3:N3"/>
    <mergeCell ref="A4:N4"/>
    <mergeCell ref="A111:M111"/>
  </mergeCells>
  <conditionalFormatting sqref="C9:C108">
    <cfRule type="cellIs" dxfId="1" priority="3" operator="equal">
      <formula>"Closed"</formula>
    </cfRule>
  </conditionalFormatting>
  <conditionalFormatting sqref="M9:M108">
    <cfRule type="cellIs" dxfId="0" priority="2" operator="equal">
      <formula>"BREACH"</formula>
    </cfRule>
  </conditionalFormatting>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How to Use</vt:lpstr>
      <vt:lpstr>Assumptions</vt:lpstr>
      <vt:lpstr>Sculpting_Schedule</vt:lpstr>
      <vt:lpstr>Equal_Principal_Schedule</vt:lpstr>
      <vt:lpstr>Annual_Summary</vt:lpstr>
      <vt:lpstr>Actual_Rate_Tracker</vt:lpstr>
      <vt:lpstr>VGF_Adjusted_Fixed_Schedule</vt:lpstr>
      <vt:lpstr>'How to Use'!Print_Area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madhu roy</cp:lastModifiedBy>
  <cp:revision>0</cp:revision>
  <dcterms:created xsi:type="dcterms:W3CDTF">2026-07-29T10:31:10Z</dcterms:created>
  <dcterms:modified xsi:type="dcterms:W3CDTF">2026-08-02T11:54:54Z</dcterms:modified>
  <dc:language>en-US</dc:language>
</cp:coreProperties>
</file>