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ACER Data website\MAYA\CAMSROY website\Excel Template\Break even analysis template\"/>
    </mc:Choice>
  </mc:AlternateContent>
  <xr:revisionPtr revIDLastSave="0" documentId="13_ncr:1_{DF11A16B-51DF-4310-8792-99C41B5E78E0}" xr6:coauthVersionLast="47" xr6:coauthVersionMax="47" xr10:uidLastSave="{00000000-0000-0000-0000-000000000000}"/>
  <bookViews>
    <workbookView xWindow="-120" yWindow="-120" windowWidth="25440" windowHeight="15270" tabRatio="500" xr2:uid="{00000000-000D-0000-FFFF-FFFF00000000}"/>
  </bookViews>
  <sheets>
    <sheet name="🏠 COVER" sheetId="1" r:id="rId1"/>
    <sheet name="⚙ SETUP" sheetId="2" r:id="rId2"/>
    <sheet name="📦 PRODUCT INPUTS" sheetId="3" r:id="rId3"/>
    <sheet name="📊 BREAK-EVEN ANALYSIS" sheetId="4" r:id="rId4"/>
    <sheet name="⚡ OPERATING LEVERAGE" sheetId="5" r:id="rId5"/>
    <sheet name="🔬 SENSITIVITY" sheetId="6" r:id="rId6"/>
    <sheet name="📈 DASHBOARD" sheetId="7" r:id="rId7"/>
    <sheet name="📖 HOW TO USE" sheetId="8" r:id="rId8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46" i="7" l="1"/>
  <c r="A45" i="7"/>
  <c r="A44" i="7"/>
  <c r="A40" i="7"/>
  <c r="A39" i="7"/>
  <c r="A38" i="7"/>
  <c r="A37" i="7"/>
  <c r="A36" i="7"/>
  <c r="A35" i="7"/>
  <c r="A34" i="7"/>
  <c r="A33" i="7"/>
  <c r="D17" i="6"/>
  <c r="A17" i="6"/>
  <c r="D16" i="6"/>
  <c r="A16" i="6"/>
  <c r="D15" i="6"/>
  <c r="A15" i="6"/>
  <c r="D14" i="6"/>
  <c r="A14" i="6"/>
  <c r="C13" i="6"/>
  <c r="A13" i="6"/>
  <c r="C12" i="6"/>
  <c r="A12" i="6"/>
  <c r="C11" i="6"/>
  <c r="A11" i="6"/>
  <c r="C10" i="6"/>
  <c r="A10" i="6"/>
  <c r="B9" i="6"/>
  <c r="A9" i="6"/>
  <c r="B8" i="6"/>
  <c r="A8" i="6"/>
  <c r="B7" i="6"/>
  <c r="A7" i="6"/>
  <c r="B6" i="6"/>
  <c r="A6" i="6"/>
  <c r="B18" i="5"/>
  <c r="B10" i="5"/>
  <c r="B28" i="4"/>
  <c r="B29" i="4" s="1"/>
  <c r="G13" i="4"/>
  <c r="D13" i="4"/>
  <c r="A13" i="4"/>
  <c r="G12" i="4"/>
  <c r="D12" i="4"/>
  <c r="A12" i="4"/>
  <c r="G11" i="4"/>
  <c r="D11" i="4"/>
  <c r="A11" i="4"/>
  <c r="G10" i="4"/>
  <c r="D10" i="4"/>
  <c r="A10" i="4"/>
  <c r="G9" i="4"/>
  <c r="D9" i="4"/>
  <c r="A9" i="4"/>
  <c r="G8" i="4"/>
  <c r="D8" i="4"/>
  <c r="A8" i="4"/>
  <c r="G7" i="4"/>
  <c r="D7" i="4"/>
  <c r="A7" i="4"/>
  <c r="G6" i="4"/>
  <c r="D6" i="4"/>
  <c r="A6" i="4"/>
  <c r="E14" i="3"/>
  <c r="J12" i="3"/>
  <c r="H12" i="3"/>
  <c r="B16" i="4" s="1"/>
  <c r="G12" i="3"/>
  <c r="B21" i="4" s="1"/>
  <c r="J11" i="3"/>
  <c r="K11" i="3" s="1"/>
  <c r="E11" i="3"/>
  <c r="J10" i="3"/>
  <c r="K10" i="3" s="1"/>
  <c r="E10" i="3"/>
  <c r="J9" i="3"/>
  <c r="K9" i="3" s="1"/>
  <c r="E9" i="3"/>
  <c r="J8" i="3"/>
  <c r="K8" i="3" s="1"/>
  <c r="E8" i="3"/>
  <c r="J7" i="3"/>
  <c r="K7" i="3" s="1"/>
  <c r="E7" i="3"/>
  <c r="J6" i="3"/>
  <c r="K6" i="3" s="1"/>
  <c r="E6" i="3"/>
  <c r="J5" i="3"/>
  <c r="K5" i="3" s="1"/>
  <c r="E5" i="3"/>
  <c r="J4" i="3"/>
  <c r="K4" i="3" s="1"/>
  <c r="E4" i="3"/>
  <c r="B17" i="4" l="1"/>
  <c r="F14" i="3"/>
  <c r="B18" i="4" s="1"/>
  <c r="E9" i="6"/>
  <c r="E10" i="6"/>
  <c r="E16" i="6"/>
  <c r="E5" i="6"/>
  <c r="E12" i="6"/>
  <c r="E11" i="6"/>
  <c r="E8" i="6"/>
  <c r="E7" i="6"/>
  <c r="B22" i="4"/>
  <c r="B19" i="4"/>
  <c r="B23" i="4" s="1"/>
  <c r="B24" i="4" s="1"/>
  <c r="B8" i="7" s="1"/>
  <c r="B20" i="4"/>
  <c r="B6" i="7" s="1"/>
  <c r="B30" i="4"/>
  <c r="B11" i="5"/>
  <c r="B12" i="5" s="1"/>
  <c r="F7" i="6"/>
  <c r="F11" i="6"/>
  <c r="F14" i="6"/>
  <c r="F6" i="6"/>
  <c r="F8" i="6"/>
  <c r="F9" i="6"/>
  <c r="F10" i="6"/>
  <c r="G10" i="6" s="1"/>
  <c r="H10" i="6" s="1"/>
  <c r="F12" i="6"/>
  <c r="F13" i="6"/>
  <c r="F17" i="6"/>
  <c r="B17" i="5"/>
  <c r="B13" i="4"/>
  <c r="F11" i="3"/>
  <c r="F10" i="3"/>
  <c r="B12" i="4"/>
  <c r="B11" i="4"/>
  <c r="F9" i="3"/>
  <c r="B10" i="4"/>
  <c r="F8" i="3"/>
  <c r="B9" i="4"/>
  <c r="F7" i="3"/>
  <c r="B8" i="4"/>
  <c r="F6" i="3"/>
  <c r="B7" i="4"/>
  <c r="F5" i="3"/>
  <c r="B6" i="4"/>
  <c r="F4" i="3"/>
  <c r="B9" i="5" l="1"/>
  <c r="B13" i="5" s="1"/>
  <c r="B16" i="5"/>
  <c r="B4" i="7"/>
  <c r="A19" i="7"/>
  <c r="A20" i="7"/>
  <c r="A21" i="7"/>
  <c r="A22" i="7"/>
  <c r="A23" i="7"/>
  <c r="A24" i="7"/>
  <c r="A25" i="7"/>
  <c r="A26" i="7"/>
  <c r="A27" i="7"/>
  <c r="A28" i="7"/>
  <c r="A29" i="7"/>
  <c r="B31" i="4"/>
  <c r="B14" i="7" s="1"/>
  <c r="B32" i="4"/>
  <c r="E13" i="4"/>
  <c r="L11" i="3"/>
  <c r="C13" i="4"/>
  <c r="B40" i="7"/>
  <c r="L10" i="3"/>
  <c r="C12" i="4"/>
  <c r="F12" i="4" s="1"/>
  <c r="B39" i="7"/>
  <c r="E12" i="4"/>
  <c r="H12" i="4"/>
  <c r="I12" i="4"/>
  <c r="J12" i="4"/>
  <c r="E11" i="4"/>
  <c r="L9" i="3"/>
  <c r="C11" i="4"/>
  <c r="B38" i="7"/>
  <c r="E10" i="4"/>
  <c r="F10" i="4" s="1"/>
  <c r="H10" i="4"/>
  <c r="L8" i="3"/>
  <c r="C10" i="4"/>
  <c r="B37" i="7"/>
  <c r="E9" i="4"/>
  <c r="H9" i="4"/>
  <c r="I9" i="4"/>
  <c r="J9" i="4"/>
  <c r="L7" i="3"/>
  <c r="C9" i="4"/>
  <c r="F9" i="4" s="1"/>
  <c r="B36" i="7"/>
  <c r="E8" i="4"/>
  <c r="H8" i="4"/>
  <c r="I8" i="4"/>
  <c r="J8" i="4"/>
  <c r="L6" i="3"/>
  <c r="C8" i="4"/>
  <c r="F8" i="4" s="1"/>
  <c r="B35" i="7"/>
  <c r="E7" i="4"/>
  <c r="L5" i="3"/>
  <c r="C7" i="4"/>
  <c r="B34" i="7"/>
  <c r="E6" i="4"/>
  <c r="H6" i="4"/>
  <c r="I6" i="4"/>
  <c r="J6" i="4"/>
  <c r="L4" i="3"/>
  <c r="C6" i="4"/>
  <c r="F6" i="4" s="1"/>
  <c r="B33" i="7"/>
  <c r="G11" i="6"/>
  <c r="H11" i="6" s="1"/>
  <c r="G13" i="6"/>
  <c r="G6" i="6"/>
  <c r="H6" i="6" s="1"/>
  <c r="G14" i="6"/>
  <c r="H14" i="6" s="1"/>
  <c r="G8" i="6"/>
  <c r="H8" i="6" s="1"/>
  <c r="G12" i="6"/>
  <c r="H12" i="6" s="1"/>
  <c r="B25" i="4"/>
  <c r="G7" i="6"/>
  <c r="H7" i="6" s="1"/>
  <c r="G9" i="6"/>
  <c r="G17" i="6"/>
  <c r="B4" i="5"/>
  <c r="B5" i="5" s="1"/>
  <c r="B6" i="5" s="1"/>
  <c r="B10" i="7" s="1"/>
  <c r="E6" i="6"/>
  <c r="E15" i="6"/>
  <c r="E13" i="6"/>
  <c r="E17" i="6"/>
  <c r="E14" i="6"/>
  <c r="F15" i="6"/>
  <c r="G15" i="6" s="1"/>
  <c r="H15" i="6" s="1"/>
  <c r="F16" i="6"/>
  <c r="G16" i="6" s="1"/>
  <c r="H16" i="6" s="1"/>
  <c r="F5" i="6"/>
  <c r="G5" i="6" s="1"/>
  <c r="B19" i="5" l="1"/>
  <c r="B12" i="7" s="1"/>
  <c r="B20" i="5"/>
  <c r="C19" i="7"/>
  <c r="B19" i="7"/>
  <c r="C20" i="7"/>
  <c r="B20" i="7"/>
  <c r="C21" i="7"/>
  <c r="B21" i="7"/>
  <c r="C22" i="7"/>
  <c r="B22" i="7"/>
  <c r="C23" i="7"/>
  <c r="B23" i="7"/>
  <c r="C24" i="7"/>
  <c r="B24" i="7"/>
  <c r="C25" i="7"/>
  <c r="B25" i="7"/>
  <c r="C26" i="7"/>
  <c r="B26" i="7"/>
  <c r="C27" i="7"/>
  <c r="B27" i="7"/>
  <c r="C28" i="7"/>
  <c r="B28" i="7"/>
  <c r="C29" i="7"/>
  <c r="B29" i="7"/>
  <c r="B21" i="6"/>
  <c r="B45" i="7" s="1"/>
  <c r="H13" i="6"/>
  <c r="B20" i="6"/>
  <c r="B44" i="7" s="1"/>
  <c r="H9" i="6"/>
  <c r="B22" i="6"/>
  <c r="B46" i="7" s="1"/>
  <c r="H17" i="6"/>
  <c r="F13" i="4"/>
  <c r="H13" i="4"/>
  <c r="F11" i="4"/>
  <c r="H11" i="4"/>
  <c r="I10" i="4"/>
  <c r="J10" i="4"/>
  <c r="F7" i="4"/>
  <c r="H7" i="4"/>
  <c r="J13" i="4" l="1"/>
  <c r="I13" i="4"/>
  <c r="I11" i="4"/>
  <c r="J11" i="4"/>
  <c r="I7" i="4"/>
  <c r="J7" i="4" s="1"/>
</calcChain>
</file>

<file path=xl/sharedStrings.xml><?xml version="1.0" encoding="utf-8"?>
<sst xmlns="http://schemas.openxmlformats.org/spreadsheetml/2006/main" count="250" uniqueCount="232">
  <si>
    <t>📊  camsroy.com</t>
  </si>
  <si>
    <t>Smart Finance Templates  |  Built for Indian SMEs, Startups &amp; Founders</t>
  </si>
  <si>
    <t>BREAK-EVEN ANALYSIS</t>
  </si>
  <si>
    <t>&amp; Cost-Volume-Profit (CVP) Excel Template</t>
  </si>
  <si>
    <t>Contribution Margin · Multi-Product Break-Even · Sensitivity · Operating Leverage</t>
  </si>
  <si>
    <t>Company Name</t>
  </si>
  <si>
    <t>[Enter Company Name]</t>
  </si>
  <si>
    <t>Financial Year</t>
  </si>
  <si>
    <t>FY 2025-26</t>
  </si>
  <si>
    <t>Reporting Currency</t>
  </si>
  <si>
    <t>INR (₹)</t>
  </si>
  <si>
    <t>Number of Products</t>
  </si>
  <si>
    <t>Up to 8 products supported</t>
  </si>
  <si>
    <t>Prepared By</t>
  </si>
  <si>
    <t>[Your Name]</t>
  </si>
  <si>
    <t>Report Date</t>
  </si>
  <si>
    <t>[As-on Date]</t>
  </si>
  <si>
    <t>📋  WORKBOOK NAVIGATION</t>
  </si>
  <si>
    <t>⚙</t>
  </si>
  <si>
    <t xml:space="preserve">  SETUP  —  Tax rate, GST, sensitivity range, target profit</t>
  </si>
  <si>
    <t>📦</t>
  </si>
  <si>
    <t xml:space="preserve">  PRODUCT INPUTS  —  Price, variable cost &amp; volume — up to 8 products</t>
  </si>
  <si>
    <t>📊</t>
  </si>
  <si>
    <t xml:space="preserve">  BREAK-EVEN ANALYSIS  —  Per-product &amp; blended break-even, margin of safety</t>
  </si>
  <si>
    <t>⚡</t>
  </si>
  <si>
    <t xml:space="preserve">  OPERATING LEVERAGE  —  DOL, cash vs accounting break-even, break-even time</t>
  </si>
  <si>
    <t>🔬</t>
  </si>
  <si>
    <t xml:space="preserve">  SENSITIVITY  —  Price / cost / volume flex ±10% &amp; ±20%</t>
  </si>
  <si>
    <t>📈</t>
  </si>
  <si>
    <t xml:space="preserve">  DASHBOARD  —  Break-even chart, CM% by product, tornado chart</t>
  </si>
  <si>
    <t>📖</t>
  </si>
  <si>
    <t xml:space="preserve">  HOW TO USE  —  Step-by-step guide &amp; formula notes</t>
  </si>
  <si>
    <t>🎨  COLOUR LEGEND</t>
  </si>
  <si>
    <t>Blue cells = Input (enter your data here)</t>
  </si>
  <si>
    <t>Green = Above break-even / Healthy margin</t>
  </si>
  <si>
    <t>Yellow = Near break-even — caution</t>
  </si>
  <si>
    <t>Red = Below break-even / Loss-making</t>
  </si>
  <si>
    <t>Grey = Calculated (do not edit)</t>
  </si>
  <si>
    <t>💡  WHAT MAKES THIS TEMPLATE DIFFERENT</t>
  </si>
  <si>
    <t>✓</t>
  </si>
  <si>
    <t>Multi-product break-even (per-product AND blended) — most free templates only do one product</t>
  </si>
  <si>
    <t>Margin of Safety AND Target Profit volume — not just the break-even point</t>
  </si>
  <si>
    <t>Operating Leverage (DOL) — shows how sales swings amplify into profit swings</t>
  </si>
  <si>
    <t>Cash Break-Even vs Accounting Break-Even — separates non-cash depreciation from real cash need</t>
  </si>
  <si>
    <t>Break-Even TIME — how many days/months to reach break-even, not just units</t>
  </si>
  <si>
    <t>Price/Cost/Volume sensitivity table with tornado chart — see which lever matters most</t>
  </si>
  <si>
    <t>GST-aware — Indian SME specific, no competitor template does this</t>
  </si>
  <si>
    <t>© camsroy.com  |  Free for personal &amp; commercial use  |  www.camsroy.com</t>
  </si>
  <si>
    <t>📊  camsroy.com  |  BREAK-EVEN SETUP  —  Assumptions &amp; Sensitivity Basis</t>
  </si>
  <si>
    <t>Configure once. Every calculation sheet references these assumptions automatically.</t>
  </si>
  <si>
    <t>📐  A. GENERAL ASSUMPTIONS</t>
  </si>
  <si>
    <t>Parameter</t>
  </si>
  <si>
    <t>Value</t>
  </si>
  <si>
    <t>Notes</t>
  </si>
  <si>
    <t>Corporate Tax Rate</t>
  </si>
  <si>
    <t>25.17% incl. surcharge+cess (Sec 115BAA) — for after-tax target profit</t>
  </si>
  <si>
    <t>Working Days per Month</t>
  </si>
  <si>
    <t>Used for Break-Even Time calculation</t>
  </si>
  <si>
    <t>Non-Cash Depreciation in Fixed Cost (₹/month)</t>
  </si>
  <si>
    <t>Enter if fixed costs include depreciation — used for Cash Break-Even</t>
  </si>
  <si>
    <t>🎯  B. TARGET PROFIT ASSUMPTION</t>
  </si>
  <si>
    <t>Desired Monthly Profit (₹, After-Tax)</t>
  </si>
  <si>
    <t>Used to compute Target Profit Volume</t>
  </si>
  <si>
    <t>🔬  C. SENSITIVITY RANGES</t>
  </si>
  <si>
    <t>Sensitivity Band 1 (±%)</t>
  </si>
  <si>
    <t>Tighter flex — realistic near-term scenario</t>
  </si>
  <si>
    <t>Sensitivity Band 2 (±%)</t>
  </si>
  <si>
    <t>Wider flex — stress scenario</t>
  </si>
  <si>
    <t>🧾  D. GST RATES (Common Slabs)</t>
  </si>
  <si>
    <t>GST Slab</t>
  </si>
  <si>
    <t>Rate</t>
  </si>
  <si>
    <t>Typical Use</t>
  </si>
  <si>
    <t>Nil / Exempt</t>
  </si>
  <si>
    <t>Essentials, exports</t>
  </si>
  <si>
    <t>GST 5%</t>
  </si>
  <si>
    <t>Essential goods</t>
  </si>
  <si>
    <t>GST 12%</t>
  </si>
  <si>
    <t>Processed goods, standard services</t>
  </si>
  <si>
    <t>GST 18%</t>
  </si>
  <si>
    <t>Most goods &amp; services — standard rate</t>
  </si>
  <si>
    <t>GST 28%</t>
  </si>
  <si>
    <t>Luxury / sin goods</t>
  </si>
  <si>
    <t>ℹ  All values editable. Sensitivity bands drive the Sensitivity sheet's flex table. Target Profit is treated as AFTER-TAX for accuracy.  |  © camsroy.com</t>
  </si>
  <si>
    <t>📦  camsroy.com  |  PRODUCT INPUTS  —  Price, Variable Cost &amp; Expected Volume</t>
  </si>
  <si>
    <t>Enter up to 8 products. Contribution Margin, CM%, and blended weighting all flow from here. Blue cells = Input.</t>
  </si>
  <si>
    <t>#</t>
  </si>
  <si>
    <t>Product Name</t>
  </si>
  <si>
    <t>Selling Price
(₹/unit)</t>
  </si>
  <si>
    <t>Variable Cost
(₹/unit)</t>
  </si>
  <si>
    <t>Contribution
Margin (₹)</t>
  </si>
  <si>
    <t>CM Ratio
(%)</t>
  </si>
  <si>
    <t>Expected Monthly
Volume (Units)</t>
  </si>
  <si>
    <t>Allocated Fixed
Cost (₹/month)</t>
  </si>
  <si>
    <t>GST %</t>
  </si>
  <si>
    <t>Expected
Revenue (₹)</t>
  </si>
  <si>
    <t>Revenue
Mix (%)</t>
  </si>
  <si>
    <t>Status</t>
  </si>
  <si>
    <t>Premium Widget A</t>
  </si>
  <si>
    <t>Standard Widget B</t>
  </si>
  <si>
    <t>Economy Widget C</t>
  </si>
  <si>
    <t>Deluxe Bundle Kit</t>
  </si>
  <si>
    <t>Accessory Pack</t>
  </si>
  <si>
    <t>Service Add-on</t>
  </si>
  <si>
    <t>Corporate Gift Set</t>
  </si>
  <si>
    <t>Bulk Wholesale Pack</t>
  </si>
  <si>
    <t>TOTAL / BLENDED</t>
  </si>
  <si>
    <t>100.0%</t>
  </si>
  <si>
    <t>Blended (Weighted-Average) Contribution Margin Ratio</t>
  </si>
  <si>
    <t>ℹ  Blue cells = Input. Contribution Margin = Price − Variable Cost. Allocated Fixed Cost should be your best estimate of fixed overhead attributable to each product (rent, salaries, etc. split sensibly). Blended CM Ratio weights by revenue mix.  |  © camsroy.com</t>
  </si>
  <si>
    <t>📊  camsroy.com  |  BREAK-EVEN ANALYSIS  —  Per-Product &amp; Blended, Margin of Safety, Target Profit</t>
  </si>
  <si>
    <t>Fully derived from Product Inputs. Nothing here is manually typed.</t>
  </si>
  <si>
    <t>🎯  A. PRODUCT-LEVEL BREAK-EVEN — BASED ON ALLOCATED FIXED COST</t>
  </si>
  <si>
    <t>⚠  Product-level break-even is INDICATIVE ONLY. Fixed costs like rent, management salaries, ERP, and corporate overhead are shared across the business and allocated to products by judgment — they don't truly "belong" to one product. Use COMPANY-WIDE (Blended) Break-Even below for the primary business decision.</t>
  </si>
  <si>
    <t>Product</t>
  </si>
  <si>
    <t>Allocated
Fixed Cost (₹)</t>
  </si>
  <si>
    <t>Break-Even
Units</t>
  </si>
  <si>
    <t>Break-Even
Revenue (₹)</t>
  </si>
  <si>
    <t>Expected
Volume</t>
  </si>
  <si>
    <t>Margin of
Safety (Units)</t>
  </si>
  <si>
    <t>Margin of
Safety (%)</t>
  </si>
  <si>
    <t>🏢  B. BLENDED (COMPANY-WIDE) BREAK-EVEN</t>
  </si>
  <si>
    <t>Total Fixed Cost (₹/month)</t>
  </si>
  <si>
    <t>Blended Contribution Margin (₹/unit, wtd by mix)</t>
  </si>
  <si>
    <t>Blended CM Ratio (%)</t>
  </si>
  <si>
    <t>Blended Break-Even (Units, total across products)</t>
  </si>
  <si>
    <t>Blended Break-Even Revenue (₹)</t>
  </si>
  <si>
    <t>Total Expected Volume (Units)</t>
  </si>
  <si>
    <t>Total Expected Revenue (₹)</t>
  </si>
  <si>
    <t>Company Margin of Safety (Units)</t>
  </si>
  <si>
    <t>Company Margin of Safety (%)</t>
  </si>
  <si>
    <t>Company Margin of Safety (₹)</t>
  </si>
  <si>
    <t>🎯  C. TARGET PROFIT VOLUME (After-Tax)</t>
  </si>
  <si>
    <t>Desired After-Tax Monthly Profit (₹)</t>
  </si>
  <si>
    <t>Grossed-Up Pre-Tax Profit Required (₹)</t>
  </si>
  <si>
    <t>Required Total Contribution (₹) = Fixed Cost + Pre-Tax Profit</t>
  </si>
  <si>
    <t>Required Blended Volume (Units)</t>
  </si>
  <si>
    <t>Required Revenue (₹)</t>
  </si>
  <si>
    <t>ℹ  Blended Break-Even uses the weighted-average CM Ratio across your product mix. Target Profit is grossed up for tax so the AFTER-TAX profit hits your desired number. Margin of Safety = how far current expected volume/revenue sits above break-even — the bigger this cushion, the safer the business.  |  © camsroy.com</t>
  </si>
  <si>
    <t>⚡  camsroy.com  |  OPERATING LEVERAGE  —  DOL, Cash Break-Even &amp; Break-Even Time</t>
  </si>
  <si>
    <t>Metrics almost no free template includes — how sensitive your profit is to sales swings, and how fast you reach break-even.</t>
  </si>
  <si>
    <t>📐  A. DEGREE OF OPERATING LEVERAGE (DOL)</t>
  </si>
  <si>
    <t>Total Contribution Margin (₹) = Blended CM × Total Volume</t>
  </si>
  <si>
    <t>Operating Profit (EBIT) (₹) = Total CM − Fixed Cost</t>
  </si>
  <si>
    <t>Degree of Operating Leverage (DOL) = Total CM ÷ EBIT</t>
  </si>
  <si>
    <t>e.g. DOL=2.0x means a 10% sales rise → 20% profit rise (and a 10% fall → 20% profit fall)</t>
  </si>
  <si>
    <t>💵  B. CASH BREAK-EVEN vs ACCOUNTING BREAK-EVEN</t>
  </si>
  <si>
    <t>Accounting Break-Even (Units) — from Break-Even Analysis sheet</t>
  </si>
  <si>
    <t>Less: Non-Cash Depreciation in Fixed Cost (₹/month)</t>
  </si>
  <si>
    <t>⚠ If this exceeds Total Fixed Cost, Cash Break-Even shows 'No Cash Fixed-Cost Burden' — double-check this input against your actual fixed cost structure.</t>
  </si>
  <si>
    <t>Cash Fixed Cost (₹) = Total Fixed Cost − Depreciation</t>
  </si>
  <si>
    <t>Cash Break-Even (Units) = Cash Fixed Cost ÷ Blended CM</t>
  </si>
  <si>
    <t>Cash Cushion (Units) = Accounting BE − Cash BE</t>
  </si>
  <si>
    <t>Cash BE is always ≤ Accounting BE when depreciation &gt; 0 — you need less CASH volume to survive, even if you're not yet 'profitable' on paper</t>
  </si>
  <si>
    <t>⏱  C. BREAK-EVEN TIME</t>
  </si>
  <si>
    <t>Blended Break-Even Units (Monthly)</t>
  </si>
  <si>
    <t>Total Expected Monthly Volume (Units)</t>
  </si>
  <si>
    <t>Break-Even Day of the Month (approx.)</t>
  </si>
  <si>
    <t>At the current expected run-rate, this is the approximate working day when break-even is reached. If expected volume is below break-even, shows 'Not Reached' — the business would not cover fixed costs within the month at this run-rate.</t>
  </si>
  <si>
    <t>Break-Even Time (as % of month elapsed)</t>
  </si>
  <si>
    <t>ℹ  DOL shows profit sensitivity to sales changes — high DOL (heavy fixed costs) means bigger swings both up and down. Cash Break-Even matters for cash flow survival even when Accounting Break-Even (which includes non-cash depreciation) looks worse. Break-Even Time translates your monthly break-even into a practical 'by which working day' answer.  |  © camsroy.com</t>
  </si>
  <si>
    <t>🔬  camsroy.com  |  SENSITIVITY ANALYSIS  —  Which Lever Moves Break-Even Most?</t>
  </si>
  <si>
    <t>Flexes Price, Variable Cost, and Fixed Cost independently at ±10% and ±20% to show which lever has the biggest impact on Break-Even Units.</t>
  </si>
  <si>
    <t>📊  SENSITIVITY TABLE — IMPACT ON BLENDED BREAK-EVEN UNITS</t>
  </si>
  <si>
    <t>Scenario</t>
  </si>
  <si>
    <t>Blended Price
Change</t>
  </si>
  <si>
    <t>Variable Cost
Change</t>
  </si>
  <si>
    <t>Fixed Cost
Change</t>
  </si>
  <si>
    <t>New CM
Ratio</t>
  </si>
  <si>
    <t>New Break-Even
(Units)</t>
  </si>
  <si>
    <t>Δ from Base
(Units)</t>
  </si>
  <si>
    <t>Interpretation</t>
  </si>
  <si>
    <t>Base Case</t>
  </si>
  <si>
    <t>Current position — reference point</t>
  </si>
  <si>
    <t>🎯  KEY TAKEAWAY — WHICH LEVER MOVES BREAK-EVEN MOST?</t>
  </si>
  <si>
    <t>Impact of ±20% Price change on Break-Even Units</t>
  </si>
  <si>
    <t>Impact of ±20% Variable Cost change on Break-Even Units</t>
  </si>
  <si>
    <t>Impact of ±20% Fixed Cost change on Break-Even Units</t>
  </si>
  <si>
    <t>ℹ  Uses the blended (revenue-weighted average) price and variable cost across your product mix. Price changes typically move break-even the most (since price affects both revenue AND contribution margin simultaneously) — this is why pricing discipline matters more than cost-cutting in most businesses.  |  © camsroy.com</t>
  </si>
  <si>
    <t>📊  camsroy.com  |  CVP DASHBOARD  —  KPIs, Break-Even Chart &amp; Sensitivity</t>
  </si>
  <si>
    <t>🎯  KPI SNAPSHOT</t>
  </si>
  <si>
    <t>Blended Break-Even (Units/month)</t>
  </si>
  <si>
    <t>Blended Break-Even Revenue (₹/month)</t>
  </si>
  <si>
    <t>Degree of Operating Leverage</t>
  </si>
  <si>
    <t>Break-Even Day of Month</t>
  </si>
  <si>
    <t>Required Units for Target Profit</t>
  </si>
  <si>
    <t>📈  BREAK-EVEN CHART DATA  —  Total Revenue vs Total Cost</t>
  </si>
  <si>
    <t>Volume (Units)</t>
  </si>
  <si>
    <t>Total Revenue (₹)</t>
  </si>
  <si>
    <t>Total Cost (₹)</t>
  </si>
  <si>
    <t>💰  CONTRIBUTION MARGIN % BY PRODUCT (Chart Data)</t>
  </si>
  <si>
    <t>CM Ratio %</t>
  </si>
  <si>
    <t>🌪  SENSITIVITY TORNADO (±20% impact on Break-Even Units)</t>
  </si>
  <si>
    <t>Lever</t>
  </si>
  <si>
    <t>Impact (Units)</t>
  </si>
  <si>
    <t>📊  camsroy.com  |  HOW TO USE  —  Break-Even Analysis &amp; CVP Excel Template</t>
  </si>
  <si>
    <t>STEP-BY-STEP GUIDE</t>
  </si>
  <si>
    <t xml:space="preserve">  Step 1 — SETUP Sheet</t>
  </si>
  <si>
    <t xml:space="preserve">    Set your tax rate, working days per month, non-cash depreciation (if any), desired target monthly profit, and sensitivity bands. Everything downstream references these.</t>
  </si>
  <si>
    <t xml:space="preserve">  Step 2 — PRODUCT INPUTS Sheet</t>
  </si>
  <si>
    <t xml:space="preserve">    Enter up to 8 products: Selling Price, Variable Cost, Expected Monthly Volume, Allocated Fixed Cost, and GST%. Contribution Margin and CM Ratio calculate automatically per product, plus a Blended (weighted-average) CM Ratio across your whole product mix.</t>
  </si>
  <si>
    <t xml:space="preserve">  Step 3 — BREAK-EVEN ANALYSIS Sheet (fully derived)</t>
  </si>
  <si>
    <t xml:space="preserve">    Shows Break-Even Units and Revenue for EACH product individually, AND for the company as a whole (blended). Margin of Safety shows your buffer above break-even. Target Profit section tells you exactly how many units you need to sell to hit your desired after-tax profit.</t>
  </si>
  <si>
    <t xml:space="preserve">  Step 4 — OPERATING LEVERAGE Sheet</t>
  </si>
  <si>
    <t xml:space="preserve">    Degree of Operating Leverage (DOL) shows how much your profit swings for every 1% change in sales. Cash Break-Even strips out non-cash depreciation to show the real cash-survival threshold. Break-Even Time translates your monthly numbers into 'by which working day do I cover costs.'</t>
  </si>
  <si>
    <t xml:space="preserve">  Step 5 — SENSITIVITY Sheet</t>
  </si>
  <si>
    <t xml:space="preserve">    Shows exactly how much Break-Even Units move if Price, Variable Cost, or Fixed Cost shift by ±10% or ±20% — independently. The Key Takeaway section tells you which lever has the biggest impact, so you know where to focus.</t>
  </si>
  <si>
    <t xml:space="preserve">  Step 6 — DASHBOARD</t>
  </si>
  <si>
    <t xml:space="preserve">    Break-even chart (Total Revenue vs Total Cost crossing), Contribution Margin % by product, and a sensitivity tornado chart — all built from your live inputs.</t>
  </si>
  <si>
    <t>KEY FORMULAS EXPLAINED</t>
  </si>
  <si>
    <t xml:space="preserve">    • Contribution Margin (CM) = Selling Price − Variable Cost per unit</t>
  </si>
  <si>
    <t xml:space="preserve">    • CM Ratio = Contribution Margin ÷ Selling Price</t>
  </si>
  <si>
    <t xml:space="preserve">    • Break-Even Units = Fixed Cost ÷ Contribution Margin per unit</t>
  </si>
  <si>
    <t xml:space="preserve">    • Break-Even Revenue = Fixed Cost ÷ CM Ratio</t>
  </si>
  <si>
    <t xml:space="preserve">    • Margin of Safety = Expected Volume − Break-Even Volume (also shown as %)</t>
  </si>
  <si>
    <t xml:space="preserve">    • Degree of Operating Leverage (DOL) = Total Contribution Margin ÷ Operating Profit (EBIT)</t>
  </si>
  <si>
    <t xml:space="preserve">    • Cash Break-Even = (Fixed Cost − Non-Cash Depreciation) ÷ Contribution Margin per unit</t>
  </si>
  <si>
    <t xml:space="preserve">    • Target Profit Volume = (Fixed Cost + Pre-Tax Required Profit) ÷ Contribution Margin per unit</t>
  </si>
  <si>
    <t>WHY THIS TEMPLATE IS DIFFERENT</t>
  </si>
  <si>
    <t xml:space="preserve">    • Multi-product break-even (per-product AND blended) — most free templates explicitly warn they don't handle multiple products well.</t>
  </si>
  <si>
    <t xml:space="preserve">    • Margin of Safety AND Target Profit — not just the bare break-even point.</t>
  </si>
  <si>
    <t xml:space="preserve">    • Operating Leverage (DOL) — a genuinely useful risk metric almost no free template includes.</t>
  </si>
  <si>
    <t xml:space="preserve">    • Cash Break-Even vs Accounting Break-Even — separates real cash survival from paper profitability.</t>
  </si>
  <si>
    <t xml:space="preserve">    • Break-Even Time — translates monthly break-even into a practical 'by which working day' answer.</t>
  </si>
  <si>
    <t xml:space="preserve">    • Full sensitivity table with tornado chart — most templates show one static break-even number, not how it moves.</t>
  </si>
  <si>
    <t xml:space="preserve">    • GST-aware — built for Indian SMEs, which no international competitor template accounts for.</t>
  </si>
  <si>
    <t>CUSTOMISATION TIPS</t>
  </si>
  <si>
    <t xml:space="preserve">    • Add more products: extend Product Inputs rows, then extend the same row range in Break-Even Analysis using the same formula pattern.</t>
  </si>
  <si>
    <t xml:space="preserve">    • Single-product business: just fill in Row 1 of Product Inputs and ignore the rest — blended figures will equal that one product's figures.</t>
  </si>
  <si>
    <t xml:space="preserve">    • Quarterly or annual view: multiply all Fixed Cost and Volume inputs by 3 or 12 — Break-Even Time won't apply at annual scale, everything else scales cleanly.</t>
  </si>
  <si>
    <t>MORE FREE TEMPLATES — camsroy.com</t>
  </si>
  <si>
    <t xml:space="preserve">    Visit www.camsroy.com/resources/templates for Budget vs Actual, AR &amp; AP Tracker, Payroll &amp; Salary Register, Inventory &amp; Stock Management and more.</t>
  </si>
  <si>
    <t>© 2025 camsroy.com  |  Free for personal and commercial use  |  www.camsroy.com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</si>
</sst>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"/>
    <numFmt numFmtId="165" formatCode="0.00\x"/>
    <numFmt numFmtId="166" formatCode="\+0%;\-0%;0%"/>
    <numFmt numFmtId="167" formatCode="\+#,##0;\-#,##0;0"/>
    <numFmt numFmtId="168" formatCode="0&quot; days&quot;"/>
  </numFmts>
  <fonts count="35" x14ac:knownFonts="1">
    <font>
      <sz val="11"/>
      <color theme="1"/>
      <name val="Calibri"/>
      <family val="2"/>
      <charset val="1"/>
    </font>
    <font>
      <sz val="11"/>
      <color theme="1"/>
      <name val="Times New Roman"/>
      <family val="1"/>
    </font>
    <font>
      <b/>
      <sz val="22"/>
      <color rgb="FFFFFFFF"/>
      <name val="Times New Roman"/>
      <family val="1"/>
    </font>
    <font>
      <i/>
      <sz val="9"/>
      <color rgb="FFF3E5F5"/>
      <name val="Times New Roman"/>
      <family val="1"/>
    </font>
    <font>
      <b/>
      <sz val="14"/>
      <color rgb="FFAED6F1"/>
      <name val="Times New Roman"/>
      <family val="1"/>
    </font>
    <font>
      <i/>
      <sz val="10"/>
      <color rgb="FFD7BDE2"/>
      <name val="Times New Roman"/>
      <family val="1"/>
    </font>
    <font>
      <sz val="10"/>
      <color rgb="FFAED6F1"/>
      <name val="Times New Roman"/>
      <family val="1"/>
    </font>
    <font>
      <b/>
      <sz val="10"/>
      <color rgb="FFFFFFFF"/>
      <name val="Times New Roman"/>
      <family val="1"/>
    </font>
    <font>
      <b/>
      <sz val="11"/>
      <color rgb="FFAED6F1"/>
      <name val="Times New Roman"/>
      <family val="1"/>
    </font>
    <font>
      <sz val="11"/>
      <color rgb="FFD4AC0D"/>
      <name val="Times New Roman"/>
      <family val="1"/>
    </font>
    <font>
      <sz val="9"/>
      <color rgb="FFBDC3C7"/>
      <name val="Times New Roman"/>
      <family val="1"/>
    </font>
    <font>
      <b/>
      <sz val="10"/>
      <color rgb="FFAED6F1"/>
      <name val="Times New Roman"/>
      <family val="1"/>
    </font>
    <font>
      <b/>
      <sz val="10"/>
      <color rgb="FFD4AC0D"/>
      <name val="Times New Roman"/>
      <family val="1"/>
    </font>
    <font>
      <b/>
      <sz val="9"/>
      <color rgb="FFD4AC0D"/>
      <name val="Times New Roman"/>
      <family val="1"/>
    </font>
    <font>
      <sz val="8"/>
      <color rgb="FF7F8C8D"/>
      <name val="Times New Roman"/>
      <family val="1"/>
    </font>
    <font>
      <b/>
      <sz val="12"/>
      <color rgb="FFFFFFFF"/>
      <name val="Times New Roman"/>
      <family val="1"/>
    </font>
    <font>
      <i/>
      <sz val="9"/>
      <color rgb="FF555555"/>
      <name val="Times New Roman"/>
      <family val="1"/>
    </font>
    <font>
      <b/>
      <sz val="9"/>
      <color rgb="FFFFFFFF"/>
      <name val="Times New Roman"/>
      <family val="1"/>
    </font>
    <font>
      <sz val="9"/>
      <color rgb="FF0D1B2A"/>
      <name val="Times New Roman"/>
      <family val="1"/>
    </font>
    <font>
      <b/>
      <sz val="9"/>
      <color rgb="FF0000FF"/>
      <name val="Times New Roman"/>
      <family val="1"/>
    </font>
    <font>
      <i/>
      <sz val="8"/>
      <color rgb="FF555555"/>
      <name val="Times New Roman"/>
      <family val="1"/>
    </font>
    <font>
      <sz val="9"/>
      <color rgb="FF0000FF"/>
      <name val="Times New Roman"/>
      <family val="1"/>
    </font>
    <font>
      <b/>
      <sz val="9"/>
      <color rgb="FF117A65"/>
      <name val="Times New Roman"/>
      <family val="1"/>
    </font>
    <font>
      <b/>
      <sz val="10"/>
      <color rgb="FF0D1B2A"/>
      <name val="Times New Roman"/>
      <family val="1"/>
    </font>
    <font>
      <b/>
      <sz val="9"/>
      <color rgb="FF0D1B2A"/>
      <name val="Times New Roman"/>
      <family val="1"/>
    </font>
    <font>
      <b/>
      <i/>
      <sz val="8.5"/>
      <color rgb="FF922B21"/>
      <name val="Times New Roman"/>
      <family val="1"/>
    </font>
    <font>
      <sz val="9"/>
      <color rgb="FF008000"/>
      <name val="Times New Roman"/>
      <family val="1"/>
    </font>
    <font>
      <b/>
      <sz val="9"/>
      <color rgb="FFA04000"/>
      <name val="Times New Roman"/>
      <family val="1"/>
    </font>
    <font>
      <b/>
      <sz val="10"/>
      <color rgb="FFA04000"/>
      <name val="Times New Roman"/>
      <family val="1"/>
    </font>
    <font>
      <sz val="9"/>
      <color theme="0"/>
      <name val="Times New Roman"/>
      <family val="1"/>
    </font>
    <font>
      <b/>
      <sz val="11"/>
      <color rgb="FF922B21"/>
      <name val="Times New Roman"/>
      <family val="1"/>
    </font>
    <font>
      <i/>
      <sz val="8"/>
      <color rgb="FF922B21"/>
      <name val="Times New Roman"/>
      <family val="1"/>
    </font>
    <font>
      <b/>
      <sz val="10"/>
      <color rgb="FF117A65"/>
      <name val="Times New Roman"/>
      <family val="1"/>
    </font>
    <font>
      <b/>
      <sz val="10"/>
      <color rgb="FF922B21"/>
      <name val="Times New Roman"/>
      <family val="1"/>
    </font>
    <font>
      <i/>
      <sz val="8"/>
      <color rgb="FF888888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rgb="FF0D1B2A"/>
        <bgColor rgb="FF000000"/>
      </patternFill>
    </fill>
    <fill>
      <patternFill patternType="solid">
        <fgColor rgb="FF6C3483"/>
        <bgColor rgb="FF333399"/>
      </patternFill>
    </fill>
    <fill>
      <patternFill patternType="solid">
        <fgColor rgb="FFD6EAF8"/>
        <bgColor rgb="FFD5F5E3"/>
      </patternFill>
    </fill>
    <fill>
      <patternFill patternType="solid">
        <fgColor rgb="FFD5F5E3"/>
        <bgColor rgb="FFD6EAF8"/>
      </patternFill>
    </fill>
    <fill>
      <patternFill patternType="solid">
        <fgColor rgb="FFFCF3CF"/>
        <bgColor rgb="FFFDEDEC"/>
      </patternFill>
    </fill>
    <fill>
      <patternFill patternType="solid">
        <fgColor rgb="FFFDEDEC"/>
        <bgColor rgb="FFF2F3F4"/>
      </patternFill>
    </fill>
    <fill>
      <patternFill patternType="solid">
        <fgColor rgb="FFF2F3F4"/>
        <bgColor rgb="FFFDEDEC"/>
      </patternFill>
    </fill>
    <fill>
      <patternFill patternType="solid">
        <fgColor rgb="FF117A65"/>
        <bgColor rgb="FF008080"/>
      </patternFill>
    </fill>
    <fill>
      <patternFill patternType="solid">
        <fgColor rgb="FF1B4F72"/>
        <bgColor rgb="FF333399"/>
      </patternFill>
    </fill>
    <fill>
      <patternFill patternType="solid">
        <fgColor rgb="FFA04000"/>
        <bgColor rgb="FF922B21"/>
      </patternFill>
    </fill>
    <fill>
      <patternFill patternType="solid">
        <fgColor rgb="FFD4AC0D"/>
        <bgColor rgb="FF99CC00"/>
      </patternFill>
    </fill>
    <fill>
      <patternFill patternType="solid">
        <fgColor rgb="FFFAE5D3"/>
        <bgColor rgb="FFFDEDEC"/>
      </patternFill>
    </fill>
  </fills>
  <borders count="5">
    <border>
      <left/>
      <right/>
      <top/>
      <bottom/>
      <diagonal/>
    </border>
    <border>
      <left/>
      <right/>
      <top/>
      <bottom style="thin">
        <color rgb="FF2E86C1"/>
      </bottom>
      <diagonal/>
    </border>
    <border>
      <left style="thin">
        <color rgb="FFBDBDBD"/>
      </left>
      <right style="thin">
        <color rgb="FFBDBDBD"/>
      </right>
      <top style="thin">
        <color rgb="FFBDBDBD"/>
      </top>
      <bottom style="thin">
        <color rgb="FFBDBDBD"/>
      </bottom>
      <diagonal/>
    </border>
    <border>
      <left style="thin">
        <color rgb="FFBDBDBD"/>
      </left>
      <right/>
      <top style="thin">
        <color rgb="FFBDBDBD"/>
      </top>
      <bottom style="thin">
        <color rgb="FFBDBDBD"/>
      </bottom>
      <diagonal/>
    </border>
    <border>
      <left/>
      <right/>
      <top/>
      <bottom style="medium">
        <color rgb="FF0D1B2A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/>
    <xf numFmtId="0" fontId="1" fillId="2" borderId="0" xfId="0" applyFont="1" applyFill="1" applyProtection="1">
      <protection locked="0"/>
    </xf>
    <xf numFmtId="0" fontId="1" fillId="0" borderId="0" xfId="0" applyFont="1" applyProtection="1">
      <protection locked="0"/>
    </xf>
    <xf numFmtId="0" fontId="1" fillId="3" borderId="0" xfId="0" applyFont="1" applyFill="1" applyProtection="1">
      <protection locked="0"/>
    </xf>
    <xf numFmtId="0" fontId="6" fillId="2" borderId="0" xfId="0" applyFont="1" applyFill="1" applyAlignment="1" applyProtection="1">
      <alignment horizontal="left" vertical="center" wrapText="1" indent="1"/>
      <protection locked="0"/>
    </xf>
    <xf numFmtId="0" fontId="7" fillId="2" borderId="1" xfId="0" applyFont="1" applyFill="1" applyBorder="1" applyAlignment="1" applyProtection="1">
      <alignment horizontal="left" vertical="center" wrapText="1" indent="1"/>
      <protection locked="0"/>
    </xf>
    <xf numFmtId="0" fontId="8" fillId="2" borderId="0" xfId="0" applyFont="1" applyFill="1" applyAlignment="1" applyProtection="1">
      <alignment horizontal="left" vertical="center" wrapText="1"/>
      <protection locked="0"/>
    </xf>
    <xf numFmtId="0" fontId="9" fillId="2" borderId="0" xfId="0" applyFont="1" applyFill="1" applyAlignment="1" applyProtection="1">
      <alignment horizontal="center" vertical="center" wrapText="1"/>
      <protection locked="0"/>
    </xf>
    <xf numFmtId="0" fontId="10" fillId="2" borderId="0" xfId="0" applyFont="1" applyFill="1" applyAlignment="1" applyProtection="1">
      <alignment horizontal="left" vertical="center" wrapText="1" indent="1"/>
      <protection locked="0"/>
    </xf>
    <xf numFmtId="0" fontId="11" fillId="2" borderId="0" xfId="0" applyFont="1" applyFill="1" applyAlignment="1" applyProtection="1">
      <alignment horizontal="left" vertical="center" wrapText="1"/>
      <protection locked="0"/>
    </xf>
    <xf numFmtId="0" fontId="1" fillId="4" borderId="0" xfId="0" applyFont="1" applyFill="1" applyProtection="1">
      <protection locked="0"/>
    </xf>
    <xf numFmtId="0" fontId="10" fillId="2" borderId="0" xfId="0" applyFont="1" applyFill="1" applyAlignment="1" applyProtection="1">
      <alignment horizontal="left" vertical="center" wrapText="1" indent="1"/>
      <protection locked="0"/>
    </xf>
    <xf numFmtId="0" fontId="1" fillId="5" borderId="0" xfId="0" applyFont="1" applyFill="1" applyProtection="1">
      <protection locked="0"/>
    </xf>
    <xf numFmtId="0" fontId="1" fillId="6" borderId="0" xfId="0" applyFont="1" applyFill="1" applyProtection="1">
      <protection locked="0"/>
    </xf>
    <xf numFmtId="0" fontId="1" fillId="7" borderId="0" xfId="0" applyFont="1" applyFill="1" applyProtection="1">
      <protection locked="0"/>
    </xf>
    <xf numFmtId="0" fontId="1" fillId="8" borderId="0" xfId="0" applyFont="1" applyFill="1" applyProtection="1">
      <protection locked="0"/>
    </xf>
    <xf numFmtId="0" fontId="12" fillId="2" borderId="0" xfId="0" applyFont="1" applyFill="1" applyAlignment="1" applyProtection="1">
      <alignment horizontal="left" vertical="center" wrapText="1"/>
      <protection locked="0"/>
    </xf>
    <xf numFmtId="0" fontId="13" fillId="2" borderId="0" xfId="0" applyFont="1" applyFill="1" applyAlignment="1" applyProtection="1">
      <alignment horizontal="center" vertical="center" wrapText="1"/>
      <protection locked="0"/>
    </xf>
    <xf numFmtId="0" fontId="14" fillId="2" borderId="0" xfId="0" applyFont="1" applyFill="1" applyAlignment="1" applyProtection="1">
      <alignment horizontal="center" vertical="center" wrapText="1"/>
      <protection locked="0"/>
    </xf>
    <xf numFmtId="0" fontId="1" fillId="2" borderId="0" xfId="0" applyFont="1" applyFill="1" applyProtection="1"/>
    <xf numFmtId="0" fontId="2" fillId="2" borderId="0" xfId="0" applyFont="1" applyFill="1" applyAlignment="1" applyProtection="1">
      <alignment horizontal="left" vertical="center" wrapText="1"/>
    </xf>
    <xf numFmtId="0" fontId="1" fillId="3" borderId="0" xfId="0" applyFont="1" applyFill="1" applyProtection="1"/>
    <xf numFmtId="0" fontId="3" fillId="3" borderId="0" xfId="0" applyFont="1" applyFill="1" applyAlignment="1" applyProtection="1">
      <alignment horizontal="left" vertical="center" wrapText="1" indent="1"/>
    </xf>
    <xf numFmtId="0" fontId="4" fillId="2" borderId="0" xfId="0" applyFont="1" applyFill="1" applyAlignment="1" applyProtection="1">
      <alignment horizontal="left" vertical="center" wrapText="1"/>
    </xf>
    <xf numFmtId="0" fontId="5" fillId="2" borderId="0" xfId="0" applyFont="1" applyFill="1" applyAlignment="1" applyProtection="1">
      <alignment horizontal="left" vertical="center" wrapText="1"/>
    </xf>
    <xf numFmtId="0" fontId="15" fillId="2" borderId="0" xfId="0" applyFont="1" applyFill="1" applyAlignment="1">
      <alignment horizontal="left" vertical="center" wrapText="1" indent="1"/>
    </xf>
    <xf numFmtId="0" fontId="16" fillId="8" borderId="0" xfId="0" applyFont="1" applyFill="1" applyAlignment="1">
      <alignment horizontal="left" vertical="center" wrapText="1" indent="1"/>
    </xf>
    <xf numFmtId="0" fontId="7" fillId="9" borderId="0" xfId="0" applyFont="1" applyFill="1" applyAlignment="1">
      <alignment horizontal="left" vertical="center" wrapText="1" indent="1"/>
    </xf>
    <xf numFmtId="0" fontId="17" fillId="10" borderId="2" xfId="0" applyFont="1" applyFill="1" applyBorder="1" applyAlignment="1">
      <alignment horizontal="center" vertical="center" wrapText="1"/>
    </xf>
    <xf numFmtId="0" fontId="18" fillId="8" borderId="2" xfId="0" applyFont="1" applyFill="1" applyBorder="1" applyAlignment="1">
      <alignment horizontal="left" vertical="center" wrapText="1" indent="1"/>
    </xf>
    <xf numFmtId="0" fontId="20" fillId="8" borderId="2" xfId="0" applyFont="1" applyFill="1" applyBorder="1" applyAlignment="1">
      <alignment horizontal="left" vertical="center" wrapText="1" indent="1"/>
    </xf>
    <xf numFmtId="0" fontId="7" fillId="11" borderId="0" xfId="0" applyFont="1" applyFill="1" applyAlignment="1">
      <alignment horizontal="left" vertical="center" wrapText="1" indent="1"/>
    </xf>
    <xf numFmtId="0" fontId="7" fillId="10" borderId="0" xfId="0" applyFont="1" applyFill="1" applyAlignment="1">
      <alignment horizontal="left" vertical="center" wrapText="1" indent="1"/>
    </xf>
    <xf numFmtId="0" fontId="7" fillId="3" borderId="0" xfId="0" applyFont="1" applyFill="1" applyAlignment="1">
      <alignment horizontal="left" vertical="center" wrapText="1" indent="1"/>
    </xf>
    <xf numFmtId="0" fontId="20" fillId="8" borderId="0" xfId="0" applyFont="1" applyFill="1" applyAlignment="1">
      <alignment horizontal="left" vertical="center" wrapText="1" indent="1"/>
    </xf>
    <xf numFmtId="0" fontId="16" fillId="8" borderId="0" xfId="0" applyFont="1" applyFill="1" applyAlignment="1" applyProtection="1">
      <alignment horizontal="left" vertical="center" wrapText="1" indent="1"/>
      <protection locked="0"/>
    </xf>
    <xf numFmtId="0" fontId="7" fillId="9" borderId="0" xfId="0" applyFont="1" applyFill="1" applyAlignment="1" applyProtection="1">
      <alignment horizontal="left" vertical="center" wrapText="1" indent="1"/>
      <protection locked="0"/>
    </xf>
    <xf numFmtId="0" fontId="17" fillId="10" borderId="2" xfId="0" applyFont="1" applyFill="1" applyBorder="1" applyAlignment="1" applyProtection="1">
      <alignment horizontal="center" vertical="center" wrapText="1"/>
      <protection locked="0"/>
    </xf>
    <xf numFmtId="0" fontId="18" fillId="8" borderId="2" xfId="0" applyFont="1" applyFill="1" applyBorder="1" applyAlignment="1" applyProtection="1">
      <alignment horizontal="left" vertical="center" wrapText="1" indent="1"/>
      <protection locked="0"/>
    </xf>
    <xf numFmtId="10" fontId="19" fillId="4" borderId="2" xfId="0" applyNumberFormat="1" applyFont="1" applyFill="1" applyBorder="1" applyAlignment="1" applyProtection="1">
      <alignment horizontal="right" vertical="center"/>
      <protection locked="0"/>
    </xf>
    <xf numFmtId="0" fontId="20" fillId="8" borderId="2" xfId="0" applyFont="1" applyFill="1" applyBorder="1" applyAlignment="1" applyProtection="1">
      <alignment horizontal="left" vertical="center" wrapText="1" indent="1"/>
      <protection locked="0"/>
    </xf>
    <xf numFmtId="3" fontId="19" fillId="4" borderId="2" xfId="0" applyNumberFormat="1" applyFont="1" applyFill="1" applyBorder="1" applyAlignment="1" applyProtection="1">
      <alignment horizontal="right" vertical="center"/>
      <protection locked="0"/>
    </xf>
    <xf numFmtId="0" fontId="7" fillId="11" borderId="0" xfId="0" applyFont="1" applyFill="1" applyAlignment="1" applyProtection="1">
      <alignment horizontal="left" vertical="center" wrapText="1" indent="1"/>
      <protection locked="0"/>
    </xf>
    <xf numFmtId="0" fontId="7" fillId="10" borderId="0" xfId="0" applyFont="1" applyFill="1" applyAlignment="1" applyProtection="1">
      <alignment horizontal="left" vertical="center" wrapText="1" indent="1"/>
      <protection locked="0"/>
    </xf>
    <xf numFmtId="9" fontId="19" fillId="4" borderId="2" xfId="0" applyNumberFormat="1" applyFont="1" applyFill="1" applyBorder="1" applyAlignment="1" applyProtection="1">
      <alignment horizontal="right" vertical="center"/>
      <protection locked="0"/>
    </xf>
    <xf numFmtId="0" fontId="7" fillId="3" borderId="0" xfId="0" applyFont="1" applyFill="1" applyAlignment="1" applyProtection="1">
      <alignment horizontal="left" vertical="center" wrapText="1" indent="1"/>
      <protection locked="0"/>
    </xf>
    <xf numFmtId="0" fontId="20" fillId="8" borderId="0" xfId="0" applyFont="1" applyFill="1" applyAlignment="1" applyProtection="1">
      <alignment horizontal="left" vertical="center" wrapText="1" indent="1"/>
      <protection locked="0"/>
    </xf>
    <xf numFmtId="0" fontId="15" fillId="2" borderId="0" xfId="0" applyFont="1" applyFill="1" applyAlignment="1" applyProtection="1">
      <alignment horizontal="left" vertical="center" wrapText="1" indent="1"/>
    </xf>
    <xf numFmtId="0" fontId="17" fillId="2" borderId="2" xfId="0" applyFont="1" applyFill="1" applyBorder="1" applyAlignment="1">
      <alignment horizontal="center" vertical="center" wrapText="1"/>
    </xf>
    <xf numFmtId="0" fontId="18" fillId="5" borderId="2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left" vertical="center" wrapText="1" indent="1"/>
    </xf>
    <xf numFmtId="3" fontId="21" fillId="4" borderId="2" xfId="0" applyNumberFormat="1" applyFont="1" applyFill="1" applyBorder="1" applyAlignment="1">
      <alignment horizontal="right" vertical="center"/>
    </xf>
    <xf numFmtId="3" fontId="22" fillId="5" borderId="2" xfId="0" applyNumberFormat="1" applyFont="1" applyFill="1" applyBorder="1" applyAlignment="1">
      <alignment horizontal="right" vertical="center"/>
    </xf>
    <xf numFmtId="164" fontId="22" fillId="5" borderId="2" xfId="0" applyNumberFormat="1" applyFont="1" applyFill="1" applyBorder="1" applyAlignment="1">
      <alignment horizontal="right" vertical="center"/>
    </xf>
    <xf numFmtId="9" fontId="21" fillId="4" borderId="2" xfId="0" applyNumberFormat="1" applyFont="1" applyFill="1" applyBorder="1" applyAlignment="1">
      <alignment horizontal="center" vertical="center" wrapText="1"/>
    </xf>
    <xf numFmtId="3" fontId="18" fillId="5" borderId="2" xfId="0" applyNumberFormat="1" applyFont="1" applyFill="1" applyBorder="1" applyAlignment="1">
      <alignment horizontal="right" vertical="center"/>
    </xf>
    <xf numFmtId="164" fontId="18" fillId="5" borderId="2" xfId="0" applyNumberFormat="1" applyFont="1" applyFill="1" applyBorder="1" applyAlignment="1">
      <alignment horizontal="right" vertical="center"/>
    </xf>
    <xf numFmtId="0" fontId="18" fillId="8" borderId="2" xfId="0" applyFont="1" applyFill="1" applyBorder="1" applyAlignment="1">
      <alignment horizontal="center" vertical="center" wrapText="1"/>
    </xf>
    <xf numFmtId="3" fontId="18" fillId="8" borderId="2" xfId="0" applyNumberFormat="1" applyFont="1" applyFill="1" applyBorder="1" applyAlignment="1">
      <alignment horizontal="right" vertical="center"/>
    </xf>
    <xf numFmtId="164" fontId="18" fillId="8" borderId="2" xfId="0" applyNumberFormat="1" applyFont="1" applyFill="1" applyBorder="1" applyAlignment="1">
      <alignment horizontal="right" vertical="center"/>
    </xf>
    <xf numFmtId="0" fontId="7" fillId="3" borderId="2" xfId="0" applyFont="1" applyFill="1" applyBorder="1" applyAlignment="1">
      <alignment horizontal="left" vertical="center" wrapText="1" indent="1"/>
    </xf>
    <xf numFmtId="0" fontId="1" fillId="3" borderId="2" xfId="0" applyFont="1" applyFill="1" applyBorder="1"/>
    <xf numFmtId="3" fontId="23" fillId="3" borderId="2" xfId="0" applyNumberFormat="1" applyFont="1" applyFill="1" applyBorder="1" applyAlignment="1">
      <alignment horizontal="right" vertical="center"/>
    </xf>
    <xf numFmtId="164" fontId="23" fillId="3" borderId="2" xfId="0" applyNumberFormat="1" applyFont="1" applyFill="1" applyBorder="1" applyAlignment="1">
      <alignment horizontal="right" vertical="center"/>
    </xf>
    <xf numFmtId="3" fontId="7" fillId="3" borderId="2" xfId="0" applyNumberFormat="1" applyFont="1" applyFill="1" applyBorder="1" applyAlignment="1">
      <alignment horizontal="right" vertical="center"/>
    </xf>
    <xf numFmtId="0" fontId="7" fillId="3" borderId="2" xfId="0" applyFont="1" applyFill="1" applyBorder="1" applyAlignment="1">
      <alignment horizontal="right" vertical="center"/>
    </xf>
    <xf numFmtId="0" fontId="24" fillId="12" borderId="2" xfId="0" applyFont="1" applyFill="1" applyBorder="1" applyAlignment="1">
      <alignment horizontal="left" vertical="center" wrapText="1" indent="1"/>
    </xf>
    <xf numFmtId="3" fontId="23" fillId="12" borderId="2" xfId="0" applyNumberFormat="1" applyFont="1" applyFill="1" applyBorder="1" applyAlignment="1">
      <alignment horizontal="right" vertical="center"/>
    </xf>
    <xf numFmtId="164" fontId="23" fillId="12" borderId="2" xfId="0" applyNumberFormat="1" applyFont="1" applyFill="1" applyBorder="1" applyAlignment="1">
      <alignment horizontal="right" vertical="center"/>
    </xf>
    <xf numFmtId="0" fontId="1" fillId="12" borderId="2" xfId="0" applyFont="1" applyFill="1" applyBorder="1"/>
    <xf numFmtId="0" fontId="25" fillId="7" borderId="0" xfId="0" applyFont="1" applyFill="1" applyAlignment="1">
      <alignment horizontal="left" vertical="center" wrapText="1" indent="1"/>
    </xf>
    <xf numFmtId="0" fontId="26" fillId="0" borderId="2" xfId="0" applyFont="1" applyBorder="1" applyAlignment="1">
      <alignment horizontal="left" vertical="center" wrapText="1" indent="1"/>
    </xf>
    <xf numFmtId="3" fontId="26" fillId="0" borderId="2" xfId="0" applyNumberFormat="1" applyFont="1" applyBorder="1" applyAlignment="1">
      <alignment horizontal="right" vertical="center"/>
    </xf>
    <xf numFmtId="164" fontId="26" fillId="0" borderId="2" xfId="0" applyNumberFormat="1" applyFont="1" applyBorder="1" applyAlignment="1">
      <alignment horizontal="right" vertical="center"/>
    </xf>
    <xf numFmtId="3" fontId="27" fillId="13" borderId="2" xfId="0" applyNumberFormat="1" applyFont="1" applyFill="1" applyBorder="1" applyAlignment="1">
      <alignment horizontal="right" vertical="center"/>
    </xf>
    <xf numFmtId="0" fontId="18" fillId="0" borderId="2" xfId="0" applyFont="1" applyBorder="1" applyAlignment="1">
      <alignment horizontal="center" vertical="center" wrapText="1"/>
    </xf>
    <xf numFmtId="0" fontId="27" fillId="13" borderId="2" xfId="0" applyFont="1" applyFill="1" applyBorder="1" applyAlignment="1">
      <alignment horizontal="right" vertical="center"/>
    </xf>
    <xf numFmtId="0" fontId="18" fillId="5" borderId="2" xfId="0" applyFont="1" applyFill="1" applyBorder="1" applyAlignment="1">
      <alignment horizontal="right" vertical="center"/>
    </xf>
    <xf numFmtId="0" fontId="18" fillId="8" borderId="2" xfId="0" applyFont="1" applyFill="1" applyBorder="1" applyAlignment="1">
      <alignment horizontal="right" vertical="center"/>
    </xf>
    <xf numFmtId="3" fontId="26" fillId="4" borderId="3" xfId="0" applyNumberFormat="1" applyFont="1" applyFill="1" applyBorder="1" applyAlignment="1">
      <alignment horizontal="right" vertical="center"/>
    </xf>
    <xf numFmtId="0" fontId="1" fillId="8" borderId="2" xfId="0" applyFont="1" applyFill="1" applyBorder="1"/>
    <xf numFmtId="3" fontId="26" fillId="4" borderId="2" xfId="0" applyNumberFormat="1" applyFont="1" applyFill="1" applyBorder="1" applyAlignment="1">
      <alignment horizontal="right" vertical="center"/>
    </xf>
    <xf numFmtId="164" fontId="26" fillId="4" borderId="2" xfId="0" applyNumberFormat="1" applyFont="1" applyFill="1" applyBorder="1" applyAlignment="1">
      <alignment horizontal="right" vertical="center"/>
    </xf>
    <xf numFmtId="3" fontId="28" fillId="13" borderId="2" xfId="0" applyNumberFormat="1" applyFont="1" applyFill="1" applyBorder="1" applyAlignment="1">
      <alignment horizontal="right" vertical="center"/>
    </xf>
    <xf numFmtId="3" fontId="24" fillId="5" borderId="2" xfId="0" applyNumberFormat="1" applyFont="1" applyFill="1" applyBorder="1" applyAlignment="1">
      <alignment horizontal="right" vertical="center"/>
    </xf>
    <xf numFmtId="164" fontId="24" fillId="5" borderId="2" xfId="0" applyNumberFormat="1" applyFont="1" applyFill="1" applyBorder="1" applyAlignment="1">
      <alignment horizontal="right" vertical="center"/>
    </xf>
    <xf numFmtId="0" fontId="23" fillId="12" borderId="2" xfId="0" applyFont="1" applyFill="1" applyBorder="1" applyAlignment="1">
      <alignment horizontal="left" vertical="center" wrapText="1" indent="1"/>
    </xf>
    <xf numFmtId="3" fontId="26" fillId="12" borderId="2" xfId="0" applyNumberFormat="1" applyFont="1" applyFill="1" applyBorder="1" applyAlignment="1">
      <alignment horizontal="right" vertical="center"/>
    </xf>
    <xf numFmtId="3" fontId="24" fillId="12" borderId="2" xfId="0" applyNumberFormat="1" applyFont="1" applyFill="1" applyBorder="1" applyAlignment="1">
      <alignment horizontal="right" vertical="center"/>
    </xf>
    <xf numFmtId="0" fontId="29" fillId="3" borderId="2" xfId="0" applyFont="1" applyFill="1" applyBorder="1" applyAlignment="1">
      <alignment horizontal="left" vertical="center" wrapText="1" indent="1"/>
    </xf>
    <xf numFmtId="3" fontId="26" fillId="4" borderId="2" xfId="0" applyNumberFormat="1" applyFont="1" applyFill="1" applyBorder="1" applyAlignment="1">
      <alignment horizontal="right" vertical="center"/>
    </xf>
    <xf numFmtId="165" fontId="30" fillId="7" borderId="2" xfId="0" applyNumberFormat="1" applyFont="1" applyFill="1" applyBorder="1" applyAlignment="1">
      <alignment horizontal="right" vertical="center"/>
    </xf>
    <xf numFmtId="0" fontId="31" fillId="7" borderId="2" xfId="0" applyFont="1" applyFill="1" applyBorder="1" applyAlignment="1">
      <alignment horizontal="left" vertical="center" wrapText="1" indent="1"/>
    </xf>
    <xf numFmtId="0" fontId="32" fillId="5" borderId="2" xfId="0" applyFont="1" applyFill="1" applyBorder="1" applyAlignment="1">
      <alignment horizontal="right" vertical="center"/>
    </xf>
    <xf numFmtId="0" fontId="33" fillId="7" borderId="2" xfId="0" applyFont="1" applyFill="1" applyBorder="1" applyAlignment="1">
      <alignment horizontal="right" vertical="center"/>
    </xf>
    <xf numFmtId="0" fontId="24" fillId="12" borderId="2" xfId="0" applyFont="1" applyFill="1" applyBorder="1" applyAlignment="1">
      <alignment horizontal="left" vertical="center" wrapText="1" indent="1"/>
    </xf>
    <xf numFmtId="166" fontId="21" fillId="4" borderId="2" xfId="0" applyNumberFormat="1" applyFont="1" applyFill="1" applyBorder="1" applyAlignment="1">
      <alignment horizontal="center" vertical="center" wrapText="1"/>
    </xf>
    <xf numFmtId="164" fontId="18" fillId="12" borderId="2" xfId="0" applyNumberFormat="1" applyFont="1" applyFill="1" applyBorder="1" applyAlignment="1">
      <alignment horizontal="right" vertical="center"/>
    </xf>
    <xf numFmtId="167" fontId="18" fillId="12" borderId="2" xfId="0" applyNumberFormat="1" applyFont="1" applyFill="1" applyBorder="1" applyAlignment="1">
      <alignment horizontal="right" vertical="center"/>
    </xf>
    <xf numFmtId="0" fontId="20" fillId="12" borderId="2" xfId="0" applyFont="1" applyFill="1" applyBorder="1" applyAlignment="1">
      <alignment horizontal="left" vertical="center" wrapText="1" indent="1"/>
    </xf>
    <xf numFmtId="167" fontId="18" fillId="8" borderId="2" xfId="0" applyNumberFormat="1" applyFont="1" applyFill="1" applyBorder="1" applyAlignment="1">
      <alignment horizontal="right" vertical="center"/>
    </xf>
    <xf numFmtId="0" fontId="23" fillId="12" borderId="0" xfId="0" applyFont="1" applyFill="1" applyAlignment="1">
      <alignment horizontal="left" vertical="center" wrapText="1" indent="1"/>
    </xf>
    <xf numFmtId="3" fontId="27" fillId="13" borderId="3" xfId="0" applyNumberFormat="1" applyFont="1" applyFill="1" applyBorder="1" applyAlignment="1">
      <alignment horizontal="right" vertical="center"/>
    </xf>
    <xf numFmtId="3" fontId="23" fillId="13" borderId="2" xfId="0" applyNumberFormat="1" applyFont="1" applyFill="1" applyBorder="1" applyAlignment="1">
      <alignment horizontal="right" vertical="center"/>
    </xf>
    <xf numFmtId="164" fontId="23" fillId="5" borderId="2" xfId="0" applyNumberFormat="1" applyFont="1" applyFill="1" applyBorder="1" applyAlignment="1">
      <alignment horizontal="right" vertical="center"/>
    </xf>
    <xf numFmtId="165" fontId="23" fillId="12" borderId="2" xfId="0" applyNumberFormat="1" applyFont="1" applyFill="1" applyBorder="1" applyAlignment="1">
      <alignment horizontal="right" vertical="center"/>
    </xf>
    <xf numFmtId="168" fontId="23" fillId="4" borderId="2" xfId="0" applyNumberFormat="1" applyFont="1" applyFill="1" applyBorder="1" applyAlignment="1">
      <alignment horizontal="right" vertical="center"/>
    </xf>
    <xf numFmtId="3" fontId="23" fillId="6" borderId="2" xfId="0" applyNumberFormat="1" applyFont="1" applyFill="1" applyBorder="1" applyAlignment="1">
      <alignment horizontal="right" vertical="center"/>
    </xf>
    <xf numFmtId="164" fontId="18" fillId="8" borderId="2" xfId="0" applyNumberFormat="1" applyFont="1" applyFill="1" applyBorder="1" applyAlignment="1">
      <alignment horizontal="center" vertical="center" wrapText="1"/>
    </xf>
    <xf numFmtId="3" fontId="17" fillId="10" borderId="2" xfId="0" applyNumberFormat="1" applyFont="1" applyFill="1" applyBorder="1" applyAlignment="1">
      <alignment horizontal="center" vertical="center" wrapText="1"/>
    </xf>
    <xf numFmtId="3" fontId="18" fillId="8" borderId="2" xfId="0" applyNumberFormat="1" applyFont="1" applyFill="1" applyBorder="1" applyAlignment="1">
      <alignment horizontal="center" vertical="center" wrapText="1"/>
    </xf>
    <xf numFmtId="0" fontId="23" fillId="8" borderId="4" xfId="0" applyFont="1" applyFill="1" applyBorder="1" applyAlignment="1">
      <alignment horizontal="left" vertical="center" wrapText="1" indent="1"/>
    </xf>
    <xf numFmtId="0" fontId="18" fillId="8" borderId="0" xfId="0" applyFont="1" applyFill="1" applyAlignment="1">
      <alignment horizontal="left" vertical="center" wrapText="1" indent="2"/>
    </xf>
    <xf numFmtId="0" fontId="34" fillId="8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17A65"/>
      <rgbColor rgb="FFBDBDBD"/>
      <rgbColor rgb="FF888888"/>
      <rgbColor rgb="FFBDC3C7"/>
      <rgbColor rgb="FF922B21"/>
      <rgbColor rgb="FFFCF3CF"/>
      <rgbColor rgb="FFD6EAF8"/>
      <rgbColor rgb="FF660066"/>
      <rgbColor rgb="FFFF8080"/>
      <rgbColor rgb="FF0066CC"/>
      <rgbColor rgb="FFD7BDE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3F4"/>
      <rgbColor rgb="FFD5F5E3"/>
      <rgbColor rgb="FFFDEDEC"/>
      <rgbColor rgb="FFAED6F1"/>
      <rgbColor rgb="FFD9D9D9"/>
      <rgbColor rgb="FFB3B3B3"/>
      <rgbColor rgb="FFFAE5D3"/>
      <rgbColor rgb="FF2E86C1"/>
      <rgbColor rgb="FF33CCCC"/>
      <rgbColor rgb="FF99CC00"/>
      <rgbColor rgb="FFF3E5F5"/>
      <rgbColor rgb="FFD4AC0D"/>
      <rgbColor rgb="FFFF6600"/>
      <rgbColor rgb="FF555555"/>
      <rgbColor rgb="FF7F8C8D"/>
      <rgbColor rgb="FF1B4F72"/>
      <rgbColor rgb="FF339966"/>
      <rgbColor rgb="FF0D1B2A"/>
      <rgbColor rgb="FF333300"/>
      <rgbColor rgb="FFA04000"/>
      <rgbColor rgb="FF6C3483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US" sz="1800" b="1" strike="noStrike" spc="-1">
                <a:solidFill>
                  <a:srgbClr val="000000"/>
                </a:solidFill>
                <a:latin typeface="Calibri"/>
              </a:rPr>
              <a:t>Break-Even Chart — Total Revenue vs Total Cost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'📈 DASHBOARD'!$B$18</c:f>
              <c:strCache>
                <c:ptCount val="1"/>
                <c:pt idx="0">
                  <c:v>Total Revenue (₹)</c:v>
                </c:pt>
              </c:strCache>
            </c:strRef>
          </c:tx>
          <c:spPr>
            <a:ln w="24840">
              <a:solidFill>
                <a:srgbClr val="117A65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'📈 DASHBOARD'!$A$19:$A$29</c:f>
              <c:numCache>
                <c:formatCode>#,##0</c:formatCode>
                <c:ptCount val="11"/>
                <c:pt idx="0">
                  <c:v>0</c:v>
                </c:pt>
                <c:pt idx="1">
                  <c:v>807</c:v>
                </c:pt>
                <c:pt idx="2">
                  <c:v>1613</c:v>
                </c:pt>
                <c:pt idx="3">
                  <c:v>2420</c:v>
                </c:pt>
                <c:pt idx="4">
                  <c:v>3227</c:v>
                </c:pt>
                <c:pt idx="5">
                  <c:v>4034</c:v>
                </c:pt>
                <c:pt idx="6">
                  <c:v>4840</c:v>
                </c:pt>
                <c:pt idx="7">
                  <c:v>5647</c:v>
                </c:pt>
                <c:pt idx="8">
                  <c:v>6454</c:v>
                </c:pt>
                <c:pt idx="9">
                  <c:v>7260</c:v>
                </c:pt>
                <c:pt idx="10">
                  <c:v>8067</c:v>
                </c:pt>
              </c:numCache>
            </c:numRef>
          </c:cat>
          <c:val>
            <c:numRef>
              <c:f>'📈 DASHBOARD'!$B$19:$B$29</c:f>
              <c:numCache>
                <c:formatCode>#,##0</c:formatCode>
                <c:ptCount val="11"/>
                <c:pt idx="0">
                  <c:v>0</c:v>
                </c:pt>
                <c:pt idx="1">
                  <c:v>376008.33759590791</c:v>
                </c:pt>
                <c:pt idx="2">
                  <c:v>751550.74168797955</c:v>
                </c:pt>
                <c:pt idx="3">
                  <c:v>1127559.0792838875</c:v>
                </c:pt>
                <c:pt idx="4">
                  <c:v>1503567.4168797955</c:v>
                </c:pt>
                <c:pt idx="5">
                  <c:v>1879575.7544757032</c:v>
                </c:pt>
                <c:pt idx="6">
                  <c:v>2255118.158567775</c:v>
                </c:pt>
                <c:pt idx="7">
                  <c:v>2631126.496163683</c:v>
                </c:pt>
                <c:pt idx="8">
                  <c:v>3007134.833759591</c:v>
                </c:pt>
                <c:pt idx="9">
                  <c:v>3382677.2378516626</c:v>
                </c:pt>
                <c:pt idx="10">
                  <c:v>3758685.5754475701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BE-4FE5-984A-3E493EBCEE46}"/>
            </c:ext>
          </c:extLst>
        </c:ser>
        <c:ser>
          <c:idx val="1"/>
          <c:order val="1"/>
          <c:tx>
            <c:strRef>
              <c:f>'📈 DASHBOARD'!$C$18</c:f>
              <c:strCache>
                <c:ptCount val="1"/>
                <c:pt idx="0">
                  <c:v>Total Cost (₹)</c:v>
                </c:pt>
              </c:strCache>
            </c:strRef>
          </c:tx>
          <c:spPr>
            <a:ln w="24840">
              <a:solidFill>
                <a:srgbClr val="A04000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'📈 DASHBOARD'!$A$19:$A$29</c:f>
              <c:numCache>
                <c:formatCode>#,##0</c:formatCode>
                <c:ptCount val="11"/>
                <c:pt idx="0">
                  <c:v>0</c:v>
                </c:pt>
                <c:pt idx="1">
                  <c:v>807</c:v>
                </c:pt>
                <c:pt idx="2">
                  <c:v>1613</c:v>
                </c:pt>
                <c:pt idx="3">
                  <c:v>2420</c:v>
                </c:pt>
                <c:pt idx="4">
                  <c:v>3227</c:v>
                </c:pt>
                <c:pt idx="5">
                  <c:v>4034</c:v>
                </c:pt>
                <c:pt idx="6">
                  <c:v>4840</c:v>
                </c:pt>
                <c:pt idx="7">
                  <c:v>5647</c:v>
                </c:pt>
                <c:pt idx="8">
                  <c:v>6454</c:v>
                </c:pt>
                <c:pt idx="9">
                  <c:v>7260</c:v>
                </c:pt>
                <c:pt idx="10">
                  <c:v>8067</c:v>
                </c:pt>
              </c:numCache>
            </c:numRef>
          </c:cat>
          <c:val>
            <c:numRef>
              <c:f>'📈 DASHBOARD'!$C$19:$C$29</c:f>
              <c:numCache>
                <c:formatCode>#,##0</c:formatCode>
                <c:ptCount val="11"/>
                <c:pt idx="0">
                  <c:v>1125000</c:v>
                </c:pt>
                <c:pt idx="1">
                  <c:v>1332178.158567775</c:v>
                </c:pt>
                <c:pt idx="2">
                  <c:v>1539099.5907928389</c:v>
                </c:pt>
                <c:pt idx="3">
                  <c:v>1746277.7493606138</c:v>
                </c:pt>
                <c:pt idx="4">
                  <c:v>1953455.9079283886</c:v>
                </c:pt>
                <c:pt idx="5">
                  <c:v>2160634.0664961636</c:v>
                </c:pt>
                <c:pt idx="6">
                  <c:v>2367555.4987212275</c:v>
                </c:pt>
                <c:pt idx="7">
                  <c:v>2574733.6572890021</c:v>
                </c:pt>
                <c:pt idx="8">
                  <c:v>2781911.8158567771</c:v>
                </c:pt>
                <c:pt idx="9">
                  <c:v>2988833.2480818415</c:v>
                </c:pt>
                <c:pt idx="10">
                  <c:v>3196011.4066496161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BE-4FE5-984A-3E493EBCEE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9828499"/>
        <c:axId val="91088169"/>
      </c:lineChart>
      <c:catAx>
        <c:axId val="9828499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en-US" sz="1000" b="1" strike="noStrike" spc="-1">
                    <a:solidFill>
                      <a:srgbClr val="000000"/>
                    </a:solidFill>
                    <a:latin typeface="Calibri"/>
                  </a:rPr>
                  <a:t>Volume (Units)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91088169"/>
        <c:crosses val="autoZero"/>
        <c:auto val="1"/>
        <c:lblAlgn val="ctr"/>
        <c:lblOffset val="100"/>
        <c:noMultiLvlLbl val="0"/>
      </c:catAx>
      <c:valAx>
        <c:axId val="91088169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en-US" sz="1000" b="1" strike="noStrike" spc="-1">
                    <a:solidFill>
                      <a:srgbClr val="000000"/>
                    </a:solidFill>
                    <a:latin typeface="Calibri"/>
                  </a:rPr>
                  <a:t>₹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9828499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US" sz="1800" b="1" strike="noStrike" spc="-1">
                <a:solidFill>
                  <a:srgbClr val="000000"/>
                </a:solidFill>
                <a:latin typeface="Calibri"/>
              </a:rPr>
              <a:t>Contribution Margin % by Product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'📈 DASHBOARD'!$B$32</c:f>
              <c:strCache>
                <c:ptCount val="1"/>
                <c:pt idx="0">
                  <c:v>CM Ratio %</c:v>
                </c:pt>
              </c:strCache>
            </c:strRef>
          </c:tx>
          <c:spPr>
            <a:solidFill>
              <a:srgbClr val="6C3483"/>
            </a:solidFill>
            <a:ln w="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'📈 DASHBOARD'!$A$33:$A$40</c:f>
              <c:strCache>
                <c:ptCount val="8"/>
                <c:pt idx="0">
                  <c:v>Premium Widget A</c:v>
                </c:pt>
                <c:pt idx="1">
                  <c:v>Standard Widget B</c:v>
                </c:pt>
                <c:pt idx="2">
                  <c:v>Economy Widget C</c:v>
                </c:pt>
                <c:pt idx="3">
                  <c:v>Deluxe Bundle Kit</c:v>
                </c:pt>
                <c:pt idx="4">
                  <c:v>Accessory Pack</c:v>
                </c:pt>
                <c:pt idx="5">
                  <c:v>Service Add-on</c:v>
                </c:pt>
                <c:pt idx="6">
                  <c:v>Corporate Gift Set</c:v>
                </c:pt>
                <c:pt idx="7">
                  <c:v>Bulk Wholesale Pack</c:v>
                </c:pt>
              </c:strCache>
            </c:strRef>
          </c:cat>
          <c:val>
            <c:numRef>
              <c:f>'📈 DASHBOARD'!$B$33:$B$40</c:f>
              <c:numCache>
                <c:formatCode>0.0%</c:formatCode>
                <c:ptCount val="8"/>
                <c:pt idx="0">
                  <c:v>0.43529411764705883</c:v>
                </c:pt>
                <c:pt idx="1">
                  <c:v>0.40384615384615385</c:v>
                </c:pt>
                <c:pt idx="2">
                  <c:v>0.375</c:v>
                </c:pt>
                <c:pt idx="3">
                  <c:v>0.46206896551724136</c:v>
                </c:pt>
                <c:pt idx="4">
                  <c:v>0.5</c:v>
                </c:pt>
                <c:pt idx="5">
                  <c:v>0.81538461538461537</c:v>
                </c:pt>
                <c:pt idx="6">
                  <c:v>0.46938775510204084</c:v>
                </c:pt>
                <c:pt idx="7">
                  <c:v>0.27941176470588236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77-46FF-AFBE-31B55945AA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17634"/>
        <c:axId val="29591433"/>
      </c:barChart>
      <c:catAx>
        <c:axId val="2031763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29591433"/>
        <c:crosses val="autoZero"/>
        <c:auto val="1"/>
        <c:lblAlgn val="ctr"/>
        <c:lblOffset val="100"/>
        <c:noMultiLvlLbl val="0"/>
      </c:catAx>
      <c:valAx>
        <c:axId val="29591433"/>
        <c:scaling>
          <c:orientation val="minMax"/>
        </c:scaling>
        <c:delete val="0"/>
        <c:axPos val="b"/>
        <c:majorGridlines>
          <c:spPr>
            <a:ln w="0">
              <a:solidFill>
                <a:srgbClr val="B3B3B3"/>
              </a:solidFill>
            </a:ln>
          </c:spPr>
        </c:majorGridlines>
        <c:numFmt formatCode="0.0%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20317634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US" sz="1800" b="1" strike="noStrike" spc="-1">
                <a:solidFill>
                  <a:srgbClr val="000000"/>
                </a:solidFill>
                <a:latin typeface="Calibri"/>
              </a:rPr>
              <a:t>Sensitivity Tornado — Impact on Break-Even Units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'📈 DASHBOARD'!$B$43</c:f>
              <c:strCache>
                <c:ptCount val="1"/>
                <c:pt idx="0">
                  <c:v>Impact (Units)</c:v>
                </c:pt>
              </c:strCache>
            </c:strRef>
          </c:tx>
          <c:spPr>
            <a:solidFill>
              <a:srgbClr val="A04000"/>
            </a:solidFill>
            <a:ln w="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'📈 DASHBOARD'!$A$44:$A$46</c:f>
              <c:strCache>
                <c:ptCount val="3"/>
                <c:pt idx="0">
                  <c:v>Price ±20%</c:v>
                </c:pt>
                <c:pt idx="1">
                  <c:v>Variable Cost ±20%</c:v>
                </c:pt>
                <c:pt idx="2">
                  <c:v>Fixed Cost ±20%</c:v>
                </c:pt>
              </c:strCache>
            </c:strRef>
          </c:cat>
          <c:val>
            <c:numRef>
              <c:f>'📈 DASHBOARD'!$B$44:$B$46</c:f>
              <c:numCache>
                <c:formatCode>#,##0</c:formatCode>
                <c:ptCount val="3"/>
                <c:pt idx="0">
                  <c:v>5976</c:v>
                </c:pt>
                <c:pt idx="1">
                  <c:v>2809</c:v>
                </c:pt>
                <c:pt idx="2">
                  <c:v>2151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88-4D60-926F-639F3FDF32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48888"/>
        <c:axId val="69048396"/>
      </c:barChart>
      <c:catAx>
        <c:axId val="124888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69048396"/>
        <c:crosses val="autoZero"/>
        <c:auto val="1"/>
        <c:lblAlgn val="ctr"/>
        <c:lblOffset val="100"/>
        <c:noMultiLvlLbl val="0"/>
      </c:catAx>
      <c:valAx>
        <c:axId val="69048396"/>
        <c:scaling>
          <c:orientation val="minMax"/>
        </c:scaling>
        <c:delete val="0"/>
        <c:axPos val="b"/>
        <c:majorGridlines>
          <c:spPr>
            <a:ln w="0">
              <a:solidFill>
                <a:srgbClr val="B3B3B3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1248888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</xdr:row>
      <xdr:rowOff>0</xdr:rowOff>
    </xdr:from>
    <xdr:to>
      <xdr:col>12</xdr:col>
      <xdr:colOff>60030</xdr:colOff>
      <xdr:row>19</xdr:row>
      <xdr:rowOff>119520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0</xdr:colOff>
      <xdr:row>24</xdr:row>
      <xdr:rowOff>0</xdr:rowOff>
    </xdr:from>
    <xdr:to>
      <xdr:col>12</xdr:col>
      <xdr:colOff>60030</xdr:colOff>
      <xdr:row>43</xdr:row>
      <xdr:rowOff>81000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8</xdr:col>
      <xdr:colOff>0</xdr:colOff>
      <xdr:row>44</xdr:row>
      <xdr:rowOff>0</xdr:rowOff>
    </xdr:from>
    <xdr:to>
      <xdr:col>12</xdr:col>
      <xdr:colOff>60030</xdr:colOff>
      <xdr:row>60</xdr:row>
      <xdr:rowOff>190080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D1B2A"/>
  </sheetPr>
  <dimension ref="A1:G57"/>
  <sheetViews>
    <sheetView tabSelected="1" zoomScaleNormal="100" workbookViewId="0">
      <selection sqref="A1:G11"/>
    </sheetView>
  </sheetViews>
  <sheetFormatPr defaultColWidth="8.7109375" defaultRowHeight="15" x14ac:dyDescent="0.25"/>
  <cols>
    <col min="1" max="1" width="3" style="3" customWidth="1"/>
    <col min="2" max="2" width="32" style="3" customWidth="1"/>
    <col min="3" max="3" width="54.42578125" style="3" customWidth="1"/>
    <col min="4" max="4" width="12.5703125" style="3" customWidth="1"/>
    <col min="5" max="16384" width="8.7109375" style="3"/>
  </cols>
  <sheetData>
    <row r="1" spans="1:7" ht="18" customHeight="1" x14ac:dyDescent="0.25">
      <c r="A1" s="20"/>
      <c r="B1" s="20"/>
      <c r="C1" s="20"/>
      <c r="D1" s="20"/>
      <c r="E1" s="20"/>
      <c r="F1" s="20"/>
      <c r="G1" s="20"/>
    </row>
    <row r="2" spans="1:7" ht="31.5" customHeight="1" x14ac:dyDescent="0.25">
      <c r="A2" s="20"/>
      <c r="B2" s="21" t="s">
        <v>0</v>
      </c>
      <c r="C2" s="21"/>
      <c r="D2" s="20"/>
      <c r="E2" s="20"/>
      <c r="F2" s="20"/>
      <c r="G2" s="20"/>
    </row>
    <row r="3" spans="1:7" ht="27.75" customHeight="1" x14ac:dyDescent="0.25">
      <c r="A3" s="20"/>
      <c r="B3" s="21"/>
      <c r="C3" s="21"/>
      <c r="D3" s="20"/>
      <c r="E3" s="20"/>
      <c r="F3" s="20"/>
      <c r="G3" s="20"/>
    </row>
    <row r="4" spans="1:7" ht="18" customHeight="1" x14ac:dyDescent="0.25">
      <c r="A4" s="22"/>
      <c r="B4" s="23" t="s">
        <v>1</v>
      </c>
      <c r="C4" s="23"/>
      <c r="D4" s="22"/>
      <c r="E4" s="22"/>
      <c r="F4" s="22"/>
      <c r="G4" s="22"/>
    </row>
    <row r="5" spans="1:7" ht="18" customHeight="1" x14ac:dyDescent="0.25">
      <c r="A5" s="22"/>
      <c r="B5" s="23"/>
      <c r="C5" s="23"/>
      <c r="D5" s="22"/>
      <c r="E5" s="22"/>
      <c r="F5" s="22"/>
      <c r="G5" s="22"/>
    </row>
    <row r="6" spans="1:7" ht="18" customHeight="1" x14ac:dyDescent="0.25">
      <c r="A6" s="20"/>
      <c r="B6" s="20"/>
      <c r="C6" s="20"/>
      <c r="D6" s="20"/>
      <c r="E6" s="20"/>
      <c r="F6" s="20"/>
      <c r="G6" s="20"/>
    </row>
    <row r="7" spans="1:7" ht="7.5" customHeight="1" x14ac:dyDescent="0.25">
      <c r="A7" s="20"/>
      <c r="B7" s="20"/>
      <c r="C7" s="20"/>
      <c r="D7" s="20"/>
      <c r="E7" s="20"/>
      <c r="F7" s="20"/>
      <c r="G7" s="20"/>
    </row>
    <row r="8" spans="1:7" ht="31.5" customHeight="1" x14ac:dyDescent="0.25">
      <c r="A8" s="20"/>
      <c r="B8" s="21" t="s">
        <v>2</v>
      </c>
      <c r="C8" s="21"/>
      <c r="D8" s="20"/>
      <c r="E8" s="20"/>
      <c r="F8" s="20"/>
      <c r="G8" s="20"/>
    </row>
    <row r="9" spans="1:7" ht="27.75" customHeight="1" x14ac:dyDescent="0.25">
      <c r="A9" s="20"/>
      <c r="B9" s="21"/>
      <c r="C9" s="21"/>
      <c r="D9" s="20"/>
      <c r="E9" s="20"/>
      <c r="F9" s="20"/>
      <c r="G9" s="20"/>
    </row>
    <row r="10" spans="1:7" ht="21.75" customHeight="1" x14ac:dyDescent="0.25">
      <c r="A10" s="20"/>
      <c r="B10" s="24" t="s">
        <v>3</v>
      </c>
      <c r="C10" s="24"/>
      <c r="D10" s="20"/>
      <c r="E10" s="20"/>
      <c r="F10" s="20"/>
      <c r="G10" s="20"/>
    </row>
    <row r="11" spans="1:7" ht="18" customHeight="1" x14ac:dyDescent="0.25">
      <c r="A11" s="20"/>
      <c r="B11" s="25" t="s">
        <v>4</v>
      </c>
      <c r="C11" s="25"/>
      <c r="D11" s="20"/>
      <c r="E11" s="20"/>
      <c r="F11" s="20"/>
      <c r="G11" s="20"/>
    </row>
    <row r="12" spans="1:7" ht="18" customHeight="1" x14ac:dyDescent="0.25">
      <c r="A12" s="2"/>
      <c r="B12" s="2"/>
      <c r="C12" s="2"/>
      <c r="D12" s="2"/>
      <c r="E12" s="2"/>
      <c r="F12" s="2"/>
      <c r="G12" s="2"/>
    </row>
    <row r="13" spans="1:7" ht="3" customHeight="1" x14ac:dyDescent="0.25">
      <c r="A13" s="2"/>
      <c r="B13" s="4"/>
      <c r="C13" s="4"/>
      <c r="D13" s="4"/>
      <c r="E13" s="2"/>
      <c r="F13" s="2"/>
      <c r="G13" s="2"/>
    </row>
    <row r="14" spans="1:7" ht="18" customHeight="1" x14ac:dyDescent="0.25">
      <c r="A14" s="2"/>
      <c r="B14" s="2"/>
      <c r="C14" s="2"/>
      <c r="D14" s="2"/>
      <c r="E14" s="2"/>
      <c r="F14" s="2"/>
      <c r="G14" s="2"/>
    </row>
    <row r="15" spans="1:7" ht="19.5" customHeight="1" x14ac:dyDescent="0.25">
      <c r="A15" s="2"/>
      <c r="B15" s="5" t="s">
        <v>5</v>
      </c>
      <c r="C15" s="6" t="s">
        <v>6</v>
      </c>
      <c r="D15" s="2"/>
      <c r="E15" s="2"/>
      <c r="F15" s="2"/>
      <c r="G15" s="2"/>
    </row>
    <row r="16" spans="1:7" ht="19.5" customHeight="1" x14ac:dyDescent="0.25">
      <c r="A16" s="2"/>
      <c r="B16" s="5" t="s">
        <v>7</v>
      </c>
      <c r="C16" s="6" t="s">
        <v>8</v>
      </c>
      <c r="D16" s="2"/>
      <c r="E16" s="2"/>
      <c r="F16" s="2"/>
      <c r="G16" s="2"/>
    </row>
    <row r="17" spans="1:7" ht="19.5" customHeight="1" x14ac:dyDescent="0.25">
      <c r="A17" s="2"/>
      <c r="B17" s="5" t="s">
        <v>9</v>
      </c>
      <c r="C17" s="6" t="s">
        <v>10</v>
      </c>
      <c r="D17" s="2"/>
      <c r="E17" s="2"/>
      <c r="F17" s="2"/>
      <c r="G17" s="2"/>
    </row>
    <row r="18" spans="1:7" ht="19.5" customHeight="1" x14ac:dyDescent="0.25">
      <c r="A18" s="2"/>
      <c r="B18" s="5" t="s">
        <v>11</v>
      </c>
      <c r="C18" s="6" t="s">
        <v>12</v>
      </c>
      <c r="D18" s="2"/>
      <c r="E18" s="2"/>
      <c r="F18" s="2"/>
      <c r="G18" s="2"/>
    </row>
    <row r="19" spans="1:7" ht="19.5" customHeight="1" x14ac:dyDescent="0.25">
      <c r="A19" s="2"/>
      <c r="B19" s="5" t="s">
        <v>13</v>
      </c>
      <c r="C19" s="6" t="s">
        <v>14</v>
      </c>
      <c r="D19" s="2"/>
      <c r="E19" s="2"/>
      <c r="F19" s="2"/>
      <c r="G19" s="2"/>
    </row>
    <row r="20" spans="1:7" ht="19.5" customHeight="1" x14ac:dyDescent="0.25">
      <c r="A20" s="2"/>
      <c r="B20" s="5" t="s">
        <v>15</v>
      </c>
      <c r="C20" s="6" t="s">
        <v>16</v>
      </c>
      <c r="D20" s="2"/>
      <c r="E20" s="2"/>
      <c r="F20" s="2"/>
      <c r="G20" s="2"/>
    </row>
    <row r="21" spans="1:7" ht="18" customHeight="1" x14ac:dyDescent="0.25">
      <c r="A21" s="2"/>
      <c r="B21" s="2"/>
      <c r="C21" s="2"/>
      <c r="D21" s="2"/>
      <c r="E21" s="2"/>
      <c r="F21" s="2"/>
      <c r="G21" s="2"/>
    </row>
    <row r="22" spans="1:7" ht="7.5" customHeight="1" x14ac:dyDescent="0.25">
      <c r="A22" s="2"/>
      <c r="B22" s="2"/>
      <c r="C22" s="2"/>
      <c r="D22" s="2"/>
      <c r="E22" s="2"/>
      <c r="F22" s="2"/>
      <c r="G22" s="2"/>
    </row>
    <row r="23" spans="1:7" ht="21.75" customHeight="1" x14ac:dyDescent="0.25">
      <c r="A23" s="2"/>
      <c r="B23" s="7" t="s">
        <v>17</v>
      </c>
      <c r="C23" s="7"/>
      <c r="D23" s="2"/>
      <c r="E23" s="2"/>
      <c r="F23" s="2"/>
      <c r="G23" s="2"/>
    </row>
    <row r="24" spans="1:7" ht="33" customHeight="1" x14ac:dyDescent="0.25">
      <c r="A24" s="2"/>
      <c r="B24" s="8" t="s">
        <v>18</v>
      </c>
      <c r="C24" s="9" t="s">
        <v>19</v>
      </c>
      <c r="D24" s="2"/>
      <c r="E24" s="2"/>
      <c r="F24" s="2"/>
      <c r="G24" s="2"/>
    </row>
    <row r="25" spans="1:7" ht="27" customHeight="1" x14ac:dyDescent="0.25">
      <c r="A25" s="2"/>
      <c r="B25" s="8" t="s">
        <v>20</v>
      </c>
      <c r="C25" s="9" t="s">
        <v>21</v>
      </c>
      <c r="D25" s="2"/>
      <c r="E25" s="2"/>
      <c r="F25" s="2"/>
      <c r="G25" s="2"/>
    </row>
    <row r="26" spans="1:7" ht="31.5" customHeight="1" x14ac:dyDescent="0.25">
      <c r="A26" s="2"/>
      <c r="B26" s="8" t="s">
        <v>22</v>
      </c>
      <c r="C26" s="9" t="s">
        <v>23</v>
      </c>
      <c r="D26" s="2"/>
      <c r="E26" s="2"/>
      <c r="F26" s="2"/>
      <c r="G26" s="2"/>
    </row>
    <row r="27" spans="1:7" ht="33.75" customHeight="1" x14ac:dyDescent="0.25">
      <c r="A27" s="2"/>
      <c r="B27" s="8" t="s">
        <v>24</v>
      </c>
      <c r="C27" s="9" t="s">
        <v>25</v>
      </c>
      <c r="D27" s="2"/>
      <c r="E27" s="2"/>
      <c r="F27" s="2"/>
      <c r="G27" s="2"/>
    </row>
    <row r="28" spans="1:7" ht="18.75" customHeight="1" x14ac:dyDescent="0.25">
      <c r="A28" s="2"/>
      <c r="B28" s="8" t="s">
        <v>26</v>
      </c>
      <c r="C28" s="9" t="s">
        <v>27</v>
      </c>
      <c r="D28" s="2"/>
      <c r="E28" s="2"/>
      <c r="F28" s="2"/>
      <c r="G28" s="2"/>
    </row>
    <row r="29" spans="1:7" ht="18.75" customHeight="1" x14ac:dyDescent="0.25">
      <c r="A29" s="2"/>
      <c r="B29" s="8" t="s">
        <v>28</v>
      </c>
      <c r="C29" s="9" t="s">
        <v>29</v>
      </c>
      <c r="D29" s="2"/>
      <c r="E29" s="2"/>
      <c r="F29" s="2"/>
      <c r="G29" s="2"/>
    </row>
    <row r="30" spans="1:7" ht="18.75" customHeight="1" x14ac:dyDescent="0.25">
      <c r="A30" s="2"/>
      <c r="B30" s="8" t="s">
        <v>30</v>
      </c>
      <c r="C30" s="9" t="s">
        <v>31</v>
      </c>
      <c r="D30" s="2"/>
      <c r="E30" s="2"/>
      <c r="F30" s="2"/>
      <c r="G30" s="2"/>
    </row>
    <row r="31" spans="1:7" ht="18" customHeight="1" x14ac:dyDescent="0.25">
      <c r="A31" s="2"/>
      <c r="B31" s="2"/>
      <c r="C31" s="2"/>
      <c r="D31" s="2"/>
      <c r="E31" s="2"/>
      <c r="F31" s="2"/>
      <c r="G31" s="2"/>
    </row>
    <row r="32" spans="1:7" ht="7.5" customHeight="1" x14ac:dyDescent="0.25">
      <c r="A32" s="2"/>
      <c r="B32" s="2"/>
      <c r="C32" s="2"/>
      <c r="D32" s="2"/>
      <c r="E32" s="2"/>
      <c r="F32" s="2"/>
      <c r="G32" s="2"/>
    </row>
    <row r="33" spans="1:7" ht="19.5" customHeight="1" x14ac:dyDescent="0.25">
      <c r="A33" s="2"/>
      <c r="B33" s="10" t="s">
        <v>32</v>
      </c>
      <c r="C33" s="10"/>
      <c r="D33" s="2"/>
      <c r="E33" s="2"/>
      <c r="F33" s="2"/>
      <c r="G33" s="2"/>
    </row>
    <row r="34" spans="1:7" ht="18" customHeight="1" x14ac:dyDescent="0.25">
      <c r="A34" s="2"/>
      <c r="B34" s="11"/>
      <c r="C34" s="12" t="s">
        <v>33</v>
      </c>
      <c r="D34" s="12"/>
      <c r="E34" s="2"/>
      <c r="F34" s="2"/>
      <c r="G34" s="2"/>
    </row>
    <row r="35" spans="1:7" ht="18" customHeight="1" x14ac:dyDescent="0.25">
      <c r="A35" s="2"/>
      <c r="B35" s="13"/>
      <c r="C35" s="12" t="s">
        <v>34</v>
      </c>
      <c r="D35" s="12"/>
      <c r="E35" s="2"/>
      <c r="F35" s="2"/>
      <c r="G35" s="2"/>
    </row>
    <row r="36" spans="1:7" ht="18" customHeight="1" x14ac:dyDescent="0.25">
      <c r="A36" s="2"/>
      <c r="B36" s="14"/>
      <c r="C36" s="12" t="s">
        <v>35</v>
      </c>
      <c r="D36" s="12"/>
      <c r="E36" s="2"/>
      <c r="F36" s="2"/>
      <c r="G36" s="2"/>
    </row>
    <row r="37" spans="1:7" ht="18" customHeight="1" x14ac:dyDescent="0.25">
      <c r="A37" s="2"/>
      <c r="B37" s="15"/>
      <c r="C37" s="12" t="s">
        <v>36</v>
      </c>
      <c r="D37" s="12"/>
      <c r="E37" s="2"/>
      <c r="F37" s="2"/>
      <c r="G37" s="2"/>
    </row>
    <row r="38" spans="1:7" ht="18" customHeight="1" x14ac:dyDescent="0.25">
      <c r="A38" s="2"/>
      <c r="B38" s="16"/>
      <c r="C38" s="12" t="s">
        <v>37</v>
      </c>
      <c r="D38" s="12"/>
      <c r="E38" s="2"/>
      <c r="F38" s="2"/>
      <c r="G38" s="2"/>
    </row>
    <row r="39" spans="1:7" ht="18" customHeight="1" x14ac:dyDescent="0.25">
      <c r="A39" s="2"/>
      <c r="B39" s="2"/>
      <c r="C39" s="2"/>
      <c r="D39" s="2"/>
      <c r="E39" s="2"/>
      <c r="F39" s="2"/>
      <c r="G39" s="2"/>
    </row>
    <row r="40" spans="1:7" ht="19.5" customHeight="1" x14ac:dyDescent="0.25">
      <c r="A40" s="2"/>
      <c r="B40" s="17" t="s">
        <v>38</v>
      </c>
      <c r="C40" s="17"/>
      <c r="D40" s="2"/>
      <c r="E40" s="2"/>
      <c r="F40" s="2"/>
      <c r="G40" s="2"/>
    </row>
    <row r="41" spans="1:7" ht="31.5" customHeight="1" x14ac:dyDescent="0.25">
      <c r="A41" s="2"/>
      <c r="B41" s="18" t="s">
        <v>39</v>
      </c>
      <c r="C41" s="12" t="s">
        <v>40</v>
      </c>
      <c r="D41" s="12"/>
      <c r="E41" s="2"/>
      <c r="F41" s="2"/>
      <c r="G41" s="2"/>
    </row>
    <row r="42" spans="1:7" ht="16.5" customHeight="1" x14ac:dyDescent="0.25">
      <c r="A42" s="2"/>
      <c r="B42" s="18" t="s">
        <v>39</v>
      </c>
      <c r="C42" s="12" t="s">
        <v>41</v>
      </c>
      <c r="D42" s="12"/>
      <c r="E42" s="2"/>
      <c r="F42" s="2"/>
      <c r="G42" s="2"/>
    </row>
    <row r="43" spans="1:7" ht="16.5" customHeight="1" x14ac:dyDescent="0.25">
      <c r="A43" s="2"/>
      <c r="B43" s="18" t="s">
        <v>39</v>
      </c>
      <c r="C43" s="12" t="s">
        <v>42</v>
      </c>
      <c r="D43" s="12"/>
      <c r="E43" s="2"/>
      <c r="F43" s="2"/>
      <c r="G43" s="2"/>
    </row>
    <row r="44" spans="1:7" ht="36" customHeight="1" x14ac:dyDescent="0.25">
      <c r="A44" s="2"/>
      <c r="B44" s="18" t="s">
        <v>39</v>
      </c>
      <c r="C44" s="12" t="s">
        <v>43</v>
      </c>
      <c r="D44" s="12"/>
      <c r="E44" s="2"/>
      <c r="F44" s="2"/>
      <c r="G44" s="2"/>
    </row>
    <row r="45" spans="1:7" ht="16.5" customHeight="1" x14ac:dyDescent="0.25">
      <c r="A45" s="2"/>
      <c r="B45" s="18" t="s">
        <v>39</v>
      </c>
      <c r="C45" s="12" t="s">
        <v>44</v>
      </c>
      <c r="D45" s="12"/>
      <c r="E45" s="2"/>
      <c r="F45" s="2"/>
      <c r="G45" s="2"/>
    </row>
    <row r="46" spans="1:7" ht="16.5" customHeight="1" x14ac:dyDescent="0.25">
      <c r="A46" s="2"/>
      <c r="B46" s="18" t="s">
        <v>39</v>
      </c>
      <c r="C46" s="12" t="s">
        <v>45</v>
      </c>
      <c r="D46" s="12"/>
      <c r="E46" s="2"/>
      <c r="F46" s="2"/>
      <c r="G46" s="2"/>
    </row>
    <row r="47" spans="1:7" ht="16.5" customHeight="1" x14ac:dyDescent="0.25">
      <c r="A47" s="2"/>
      <c r="B47" s="18" t="s">
        <v>39</v>
      </c>
      <c r="C47" s="12" t="s">
        <v>46</v>
      </c>
      <c r="D47" s="12"/>
      <c r="E47" s="2"/>
      <c r="F47" s="2"/>
      <c r="G47" s="2"/>
    </row>
    <row r="48" spans="1:7" ht="18" customHeight="1" x14ac:dyDescent="0.25">
      <c r="A48" s="2"/>
      <c r="B48" s="2"/>
      <c r="C48" s="2"/>
      <c r="D48" s="2"/>
      <c r="E48" s="2"/>
      <c r="F48" s="2"/>
      <c r="G48" s="2"/>
    </row>
    <row r="49" spans="1:7" ht="18" customHeight="1" x14ac:dyDescent="0.25">
      <c r="A49" s="2"/>
      <c r="B49" s="2"/>
      <c r="C49" s="2"/>
      <c r="D49" s="2"/>
      <c r="E49" s="2"/>
      <c r="F49" s="2"/>
      <c r="G49" s="2"/>
    </row>
    <row r="50" spans="1:7" ht="18" customHeight="1" x14ac:dyDescent="0.25">
      <c r="A50" s="2"/>
      <c r="B50" s="2"/>
      <c r="C50" s="2"/>
      <c r="D50" s="2"/>
      <c r="E50" s="2"/>
      <c r="F50" s="2"/>
      <c r="G50" s="2"/>
    </row>
    <row r="51" spans="1:7" ht="18" customHeight="1" x14ac:dyDescent="0.25">
      <c r="A51" s="2"/>
      <c r="B51" s="2"/>
      <c r="C51" s="2"/>
      <c r="D51" s="2"/>
      <c r="E51" s="2"/>
      <c r="F51" s="2"/>
      <c r="G51" s="2"/>
    </row>
    <row r="52" spans="1:7" ht="18" customHeight="1" x14ac:dyDescent="0.25">
      <c r="A52" s="2"/>
      <c r="B52" s="2"/>
      <c r="C52" s="2"/>
      <c r="D52" s="2"/>
      <c r="E52" s="2"/>
      <c r="F52" s="2"/>
      <c r="G52" s="2"/>
    </row>
    <row r="53" spans="1:7" ht="18" customHeight="1" x14ac:dyDescent="0.25">
      <c r="A53" s="2"/>
      <c r="B53" s="2"/>
      <c r="C53" s="2"/>
      <c r="D53" s="2"/>
      <c r="E53" s="2"/>
      <c r="F53" s="2"/>
      <c r="G53" s="2"/>
    </row>
    <row r="54" spans="1:7" ht="18" customHeight="1" x14ac:dyDescent="0.25">
      <c r="A54" s="2"/>
      <c r="B54" s="2"/>
      <c r="C54" s="2"/>
      <c r="D54" s="2"/>
      <c r="E54" s="2"/>
      <c r="F54" s="2"/>
      <c r="G54" s="2"/>
    </row>
    <row r="55" spans="1:7" ht="18" customHeight="1" x14ac:dyDescent="0.25">
      <c r="A55" s="2"/>
      <c r="B55" s="2"/>
      <c r="C55" s="2"/>
      <c r="D55" s="2"/>
      <c r="E55" s="2"/>
      <c r="F55" s="2"/>
      <c r="G55" s="2"/>
    </row>
    <row r="56" spans="1:7" ht="15.75" customHeight="1" x14ac:dyDescent="0.25">
      <c r="A56" s="2"/>
      <c r="B56" s="19" t="s">
        <v>47</v>
      </c>
      <c r="C56" s="19"/>
      <c r="D56" s="2"/>
      <c r="E56" s="2"/>
      <c r="F56" s="2"/>
      <c r="G56" s="2"/>
    </row>
    <row r="57" spans="1:7" ht="18" customHeight="1" x14ac:dyDescent="0.25">
      <c r="A57" s="2"/>
      <c r="B57" s="2"/>
      <c r="C57" s="2"/>
      <c r="D57" s="2"/>
      <c r="E57" s="2"/>
      <c r="F57" s="2"/>
      <c r="G57" s="2"/>
    </row>
  </sheetData>
  <sheetProtection algorithmName="SHA-512" hashValue="xQ16apiHFGx+YuoATrNSmkG3lKwEpl0g/PwyJBzowcFySNeXKZpNi95wN+DmiWwLefPByZcRvnSWhRLVdYzJbg==" saltValue="bEVNH1JAh/Q1DAzLOI9IwQ==" spinCount="100000" sheet="1" objects="1" scenarios="1"/>
  <mergeCells count="21">
    <mergeCell ref="B2:C3"/>
    <mergeCell ref="B4:C5"/>
    <mergeCell ref="B8:C9"/>
    <mergeCell ref="B10:C10"/>
    <mergeCell ref="B11:C11"/>
    <mergeCell ref="B23:C23"/>
    <mergeCell ref="B33:C33"/>
    <mergeCell ref="C34:D34"/>
    <mergeCell ref="C35:D35"/>
    <mergeCell ref="C36:D36"/>
    <mergeCell ref="C37:D37"/>
    <mergeCell ref="C38:D38"/>
    <mergeCell ref="B40:C40"/>
    <mergeCell ref="C41:D41"/>
    <mergeCell ref="C42:D42"/>
    <mergeCell ref="B56:C56"/>
    <mergeCell ref="C43:D43"/>
    <mergeCell ref="C44:D44"/>
    <mergeCell ref="C45:D45"/>
    <mergeCell ref="C46:D46"/>
    <mergeCell ref="C47:D47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6C3483"/>
  </sheetPr>
  <dimension ref="A1:C26"/>
  <sheetViews>
    <sheetView zoomScaleNormal="100" workbookViewId="0">
      <pane ySplit="2" topLeftCell="A9" activePane="bottomLeft" state="frozen"/>
      <selection pane="bottomLeft" sqref="A1:C1"/>
    </sheetView>
  </sheetViews>
  <sheetFormatPr defaultColWidth="8.7109375" defaultRowHeight="15" x14ac:dyDescent="0.25"/>
  <cols>
    <col min="1" max="1" width="36" style="3" customWidth="1"/>
    <col min="2" max="2" width="16" style="3" customWidth="1"/>
    <col min="3" max="3" width="34" style="3" customWidth="1"/>
    <col min="4" max="16384" width="8.7109375" style="3"/>
  </cols>
  <sheetData>
    <row r="1" spans="1:3" ht="30" customHeight="1" x14ac:dyDescent="0.25">
      <c r="A1" s="48" t="s">
        <v>48</v>
      </c>
      <c r="B1" s="48"/>
      <c r="C1" s="48"/>
    </row>
    <row r="2" spans="1:3" ht="15" customHeight="1" x14ac:dyDescent="0.25">
      <c r="A2" s="36" t="s">
        <v>49</v>
      </c>
      <c r="B2" s="36"/>
      <c r="C2" s="36"/>
    </row>
    <row r="3" spans="1:3" ht="21.75" customHeight="1" x14ac:dyDescent="0.25">
      <c r="A3" s="37" t="s">
        <v>50</v>
      </c>
      <c r="B3" s="37"/>
      <c r="C3" s="37"/>
    </row>
    <row r="4" spans="1:3" ht="19.5" customHeight="1" x14ac:dyDescent="0.25">
      <c r="A4" s="38" t="s">
        <v>51</v>
      </c>
      <c r="B4" s="38" t="s">
        <v>52</v>
      </c>
      <c r="C4" s="38" t="s">
        <v>53</v>
      </c>
    </row>
    <row r="5" spans="1:3" ht="18.75" customHeight="1" x14ac:dyDescent="0.25">
      <c r="A5" s="39" t="s">
        <v>54</v>
      </c>
      <c r="B5" s="40">
        <v>0.25169999999999998</v>
      </c>
      <c r="C5" s="41" t="s">
        <v>55</v>
      </c>
    </row>
    <row r="6" spans="1:3" ht="15" customHeight="1" x14ac:dyDescent="0.25">
      <c r="A6" s="39" t="s">
        <v>56</v>
      </c>
      <c r="B6" s="42">
        <v>26</v>
      </c>
      <c r="C6" s="41" t="s">
        <v>57</v>
      </c>
    </row>
    <row r="7" spans="1:3" ht="21.75" customHeight="1" x14ac:dyDescent="0.25">
      <c r="A7" s="39" t="s">
        <v>58</v>
      </c>
      <c r="B7" s="42">
        <v>0</v>
      </c>
      <c r="C7" s="41" t="s">
        <v>59</v>
      </c>
    </row>
    <row r="9" spans="1:3" ht="21.75" customHeight="1" x14ac:dyDescent="0.25">
      <c r="A9" s="43" t="s">
        <v>60</v>
      </c>
      <c r="B9" s="43"/>
      <c r="C9" s="43"/>
    </row>
    <row r="10" spans="1:3" ht="19.5" customHeight="1" x14ac:dyDescent="0.25">
      <c r="A10" s="38" t="s">
        <v>51</v>
      </c>
      <c r="B10" s="38" t="s">
        <v>52</v>
      </c>
      <c r="C10" s="38" t="s">
        <v>53</v>
      </c>
    </row>
    <row r="11" spans="1:3" ht="15" customHeight="1" x14ac:dyDescent="0.25">
      <c r="A11" s="39" t="s">
        <v>61</v>
      </c>
      <c r="B11" s="42">
        <v>200000</v>
      </c>
      <c r="C11" s="41" t="s">
        <v>62</v>
      </c>
    </row>
    <row r="13" spans="1:3" ht="21.75" customHeight="1" x14ac:dyDescent="0.25">
      <c r="A13" s="44" t="s">
        <v>63</v>
      </c>
      <c r="B13" s="44"/>
      <c r="C13" s="44"/>
    </row>
    <row r="14" spans="1:3" ht="19.5" customHeight="1" x14ac:dyDescent="0.25">
      <c r="A14" s="38" t="s">
        <v>51</v>
      </c>
      <c r="B14" s="38" t="s">
        <v>52</v>
      </c>
      <c r="C14" s="38" t="s">
        <v>53</v>
      </c>
    </row>
    <row r="15" spans="1:3" ht="15" customHeight="1" x14ac:dyDescent="0.25">
      <c r="A15" s="39" t="s">
        <v>64</v>
      </c>
      <c r="B15" s="45">
        <v>0.1</v>
      </c>
      <c r="C15" s="41" t="s">
        <v>65</v>
      </c>
    </row>
    <row r="16" spans="1:3" ht="15" customHeight="1" x14ac:dyDescent="0.25">
      <c r="A16" s="39" t="s">
        <v>66</v>
      </c>
      <c r="B16" s="45">
        <v>0.2</v>
      </c>
      <c r="C16" s="41" t="s">
        <v>67</v>
      </c>
    </row>
    <row r="18" spans="1:3" ht="21.75" customHeight="1" x14ac:dyDescent="0.25">
      <c r="A18" s="46" t="s">
        <v>68</v>
      </c>
      <c r="B18" s="46"/>
      <c r="C18" s="46"/>
    </row>
    <row r="19" spans="1:3" ht="19.5" customHeight="1" x14ac:dyDescent="0.25">
      <c r="A19" s="38" t="s">
        <v>69</v>
      </c>
      <c r="B19" s="38" t="s">
        <v>70</v>
      </c>
      <c r="C19" s="38" t="s">
        <v>71</v>
      </c>
    </row>
    <row r="20" spans="1:3" ht="15" customHeight="1" x14ac:dyDescent="0.25">
      <c r="A20" s="39" t="s">
        <v>72</v>
      </c>
      <c r="B20" s="45">
        <v>0</v>
      </c>
      <c r="C20" s="41" t="s">
        <v>73</v>
      </c>
    </row>
    <row r="21" spans="1:3" ht="15" customHeight="1" x14ac:dyDescent="0.25">
      <c r="A21" s="39" t="s">
        <v>74</v>
      </c>
      <c r="B21" s="45">
        <v>0.05</v>
      </c>
      <c r="C21" s="41" t="s">
        <v>75</v>
      </c>
    </row>
    <row r="22" spans="1:3" ht="15" customHeight="1" x14ac:dyDescent="0.25">
      <c r="A22" s="39" t="s">
        <v>76</v>
      </c>
      <c r="B22" s="45">
        <v>0.12</v>
      </c>
      <c r="C22" s="41" t="s">
        <v>77</v>
      </c>
    </row>
    <row r="23" spans="1:3" ht="15" customHeight="1" x14ac:dyDescent="0.25">
      <c r="A23" s="39" t="s">
        <v>78</v>
      </c>
      <c r="B23" s="45">
        <v>0.18</v>
      </c>
      <c r="C23" s="41" t="s">
        <v>79</v>
      </c>
    </row>
    <row r="24" spans="1:3" ht="15" customHeight="1" x14ac:dyDescent="0.25">
      <c r="A24" s="39" t="s">
        <v>80</v>
      </c>
      <c r="B24" s="45">
        <v>0.28000000000000003</v>
      </c>
      <c r="C24" s="41" t="s">
        <v>81</v>
      </c>
    </row>
    <row r="26" spans="1:3" ht="44.25" customHeight="1" x14ac:dyDescent="0.25">
      <c r="A26" s="47" t="s">
        <v>82</v>
      </c>
      <c r="B26" s="47"/>
      <c r="C26" s="47"/>
    </row>
  </sheetData>
  <sheetProtection algorithmName="SHA-512" hashValue="sOLB9kDbmRj2kcbPOI9qqo1qGCTcC/rfjy8j9A5VALTlpb5+Yqcx3iHQqGy+StQyq685Bml8PSgnTWlwMpuMsQ==" saltValue="pTYgKoz5mhDGLEyBQrMCyg==" spinCount="100000" sheet="1" objects="1" scenarios="1"/>
  <mergeCells count="7">
    <mergeCell ref="A18:C18"/>
    <mergeCell ref="A26:C26"/>
    <mergeCell ref="A1:C1"/>
    <mergeCell ref="A2:C2"/>
    <mergeCell ref="A3:C3"/>
    <mergeCell ref="A9:C9"/>
    <mergeCell ref="A13:C13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B4F72"/>
  </sheetPr>
  <dimension ref="A1:L16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16" sqref="A16:L16"/>
    </sheetView>
  </sheetViews>
  <sheetFormatPr defaultColWidth="8.7109375" defaultRowHeight="15" x14ac:dyDescent="0.25"/>
  <cols>
    <col min="1" max="1" width="5" style="1" customWidth="1"/>
    <col min="2" max="2" width="24" style="1" customWidth="1"/>
    <col min="3" max="6" width="14" style="1" customWidth="1"/>
    <col min="7" max="8" width="13" style="1" customWidth="1"/>
    <col min="9" max="9" width="16" style="1" customWidth="1"/>
    <col min="10" max="12" width="13" style="1" customWidth="1"/>
    <col min="13" max="16384" width="8.7109375" style="1"/>
  </cols>
  <sheetData>
    <row r="1" spans="1:12" ht="30" customHeight="1" x14ac:dyDescent="0.25">
      <c r="A1" s="26" t="s">
        <v>83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15" customHeight="1" x14ac:dyDescent="0.25">
      <c r="A2" s="27" t="s">
        <v>84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33.75" customHeight="1" x14ac:dyDescent="0.25">
      <c r="A3" s="49" t="s">
        <v>85</v>
      </c>
      <c r="B3" s="49" t="s">
        <v>86</v>
      </c>
      <c r="C3" s="49" t="s">
        <v>87</v>
      </c>
      <c r="D3" s="49" t="s">
        <v>88</v>
      </c>
      <c r="E3" s="49" t="s">
        <v>89</v>
      </c>
      <c r="F3" s="49" t="s">
        <v>90</v>
      </c>
      <c r="G3" s="49" t="s">
        <v>91</v>
      </c>
      <c r="H3" s="49" t="s">
        <v>92</v>
      </c>
      <c r="I3" s="49" t="s">
        <v>93</v>
      </c>
      <c r="J3" s="49" t="s">
        <v>94</v>
      </c>
      <c r="K3" s="49" t="s">
        <v>95</v>
      </c>
      <c r="L3" s="49" t="s">
        <v>96</v>
      </c>
    </row>
    <row r="4" spans="1:12" ht="19.5" customHeight="1" x14ac:dyDescent="0.25">
      <c r="A4" s="50">
        <v>1</v>
      </c>
      <c r="B4" s="51" t="s">
        <v>97</v>
      </c>
      <c r="C4" s="52">
        <v>850</v>
      </c>
      <c r="D4" s="52">
        <v>480</v>
      </c>
      <c r="E4" s="53">
        <f t="shared" ref="E4:E11" si="0">C4-D4</f>
        <v>370</v>
      </c>
      <c r="F4" s="54">
        <f t="shared" ref="F4:F11" si="1">IFERROR(E4/C4,0)</f>
        <v>0.43529411764705883</v>
      </c>
      <c r="G4" s="52">
        <v>4500</v>
      </c>
      <c r="H4" s="52">
        <v>320000</v>
      </c>
      <c r="I4" s="55">
        <v>0.18</v>
      </c>
      <c r="J4" s="56">
        <f t="shared" ref="J4:J11" si="2">C4*G4</f>
        <v>3825000</v>
      </c>
      <c r="K4" s="57">
        <f t="shared" ref="K4:K11" si="3">IFERROR(J4/$J$12,0)</f>
        <v>0.20995718520144913</v>
      </c>
      <c r="L4" s="50" t="str">
        <f t="shared" ref="L4:L11" si="4">IF(F4&gt;=0.25,"✅ Healthy",IF(F4&gt;=0.1,"🟡 Thin","🔴 Weak"))</f>
        <v>✅ Healthy</v>
      </c>
    </row>
    <row r="5" spans="1:12" ht="19.5" customHeight="1" x14ac:dyDescent="0.25">
      <c r="A5" s="58">
        <v>2</v>
      </c>
      <c r="B5" s="51" t="s">
        <v>98</v>
      </c>
      <c r="C5" s="52">
        <v>520</v>
      </c>
      <c r="D5" s="52">
        <v>310</v>
      </c>
      <c r="E5" s="53">
        <f t="shared" si="0"/>
        <v>210</v>
      </c>
      <c r="F5" s="54">
        <f t="shared" si="1"/>
        <v>0.40384615384615385</v>
      </c>
      <c r="G5" s="52">
        <v>6200</v>
      </c>
      <c r="H5" s="52">
        <v>180000</v>
      </c>
      <c r="I5" s="55">
        <v>0.18</v>
      </c>
      <c r="J5" s="59">
        <f t="shared" si="2"/>
        <v>3224000</v>
      </c>
      <c r="K5" s="60">
        <f t="shared" si="3"/>
        <v>0.17696783401031946</v>
      </c>
      <c r="L5" s="58" t="str">
        <f t="shared" si="4"/>
        <v>✅ Healthy</v>
      </c>
    </row>
    <row r="6" spans="1:12" ht="19.5" customHeight="1" x14ac:dyDescent="0.25">
      <c r="A6" s="50">
        <v>3</v>
      </c>
      <c r="B6" s="51" t="s">
        <v>99</v>
      </c>
      <c r="C6" s="52">
        <v>280</v>
      </c>
      <c r="D6" s="52">
        <v>175</v>
      </c>
      <c r="E6" s="53">
        <f t="shared" si="0"/>
        <v>105</v>
      </c>
      <c r="F6" s="54">
        <f t="shared" si="1"/>
        <v>0.375</v>
      </c>
      <c r="G6" s="52">
        <v>8500</v>
      </c>
      <c r="H6" s="52">
        <v>95000</v>
      </c>
      <c r="I6" s="55">
        <v>0.12</v>
      </c>
      <c r="J6" s="56">
        <f t="shared" si="2"/>
        <v>2380000</v>
      </c>
      <c r="K6" s="57">
        <f t="shared" si="3"/>
        <v>0.13064002634756833</v>
      </c>
      <c r="L6" s="50" t="str">
        <f t="shared" si="4"/>
        <v>✅ Healthy</v>
      </c>
    </row>
    <row r="7" spans="1:12" ht="19.5" customHeight="1" x14ac:dyDescent="0.25">
      <c r="A7" s="58">
        <v>4</v>
      </c>
      <c r="B7" s="51" t="s">
        <v>100</v>
      </c>
      <c r="C7" s="52">
        <v>1450</v>
      </c>
      <c r="D7" s="52">
        <v>780</v>
      </c>
      <c r="E7" s="53">
        <f t="shared" si="0"/>
        <v>670</v>
      </c>
      <c r="F7" s="54">
        <f t="shared" si="1"/>
        <v>0.46206896551724136</v>
      </c>
      <c r="G7" s="52">
        <v>1800</v>
      </c>
      <c r="H7" s="52">
        <v>210000</v>
      </c>
      <c r="I7" s="55">
        <v>0.18</v>
      </c>
      <c r="J7" s="59">
        <f t="shared" si="2"/>
        <v>2610000</v>
      </c>
      <c r="K7" s="60">
        <f t="shared" si="3"/>
        <v>0.14326490284334176</v>
      </c>
      <c r="L7" s="58" t="str">
        <f t="shared" si="4"/>
        <v>✅ Healthy</v>
      </c>
    </row>
    <row r="8" spans="1:12" ht="19.5" customHeight="1" x14ac:dyDescent="0.25">
      <c r="A8" s="50">
        <v>5</v>
      </c>
      <c r="B8" s="51" t="s">
        <v>101</v>
      </c>
      <c r="C8" s="52">
        <v>190</v>
      </c>
      <c r="D8" s="52">
        <v>95</v>
      </c>
      <c r="E8" s="53">
        <f t="shared" si="0"/>
        <v>95</v>
      </c>
      <c r="F8" s="54">
        <f t="shared" si="1"/>
        <v>0.5</v>
      </c>
      <c r="G8" s="52">
        <v>9500</v>
      </c>
      <c r="H8" s="52">
        <v>60000</v>
      </c>
      <c r="I8" s="55">
        <v>0.12</v>
      </c>
      <c r="J8" s="56">
        <f t="shared" si="2"/>
        <v>1805000</v>
      </c>
      <c r="K8" s="57">
        <f t="shared" si="3"/>
        <v>9.907783510813481E-2</v>
      </c>
      <c r="L8" s="50" t="str">
        <f t="shared" si="4"/>
        <v>✅ Healthy</v>
      </c>
    </row>
    <row r="9" spans="1:12" ht="19.5" customHeight="1" x14ac:dyDescent="0.25">
      <c r="A9" s="58">
        <v>6</v>
      </c>
      <c r="B9" s="51" t="s">
        <v>102</v>
      </c>
      <c r="C9" s="52">
        <v>650</v>
      </c>
      <c r="D9" s="52">
        <v>120</v>
      </c>
      <c r="E9" s="53">
        <f t="shared" si="0"/>
        <v>530</v>
      </c>
      <c r="F9" s="54">
        <f t="shared" si="1"/>
        <v>0.81538461538461537</v>
      </c>
      <c r="G9" s="52">
        <v>2200</v>
      </c>
      <c r="H9" s="52">
        <v>45000</v>
      </c>
      <c r="I9" s="55">
        <v>0.18</v>
      </c>
      <c r="J9" s="59">
        <f t="shared" si="2"/>
        <v>1430000</v>
      </c>
      <c r="K9" s="60">
        <f t="shared" si="3"/>
        <v>7.8493797343286861E-2</v>
      </c>
      <c r="L9" s="58" t="str">
        <f t="shared" si="4"/>
        <v>✅ Healthy</v>
      </c>
    </row>
    <row r="10" spans="1:12" ht="19.5" customHeight="1" x14ac:dyDescent="0.25">
      <c r="A10" s="50">
        <v>7</v>
      </c>
      <c r="B10" s="51" t="s">
        <v>103</v>
      </c>
      <c r="C10" s="52">
        <v>980</v>
      </c>
      <c r="D10" s="52">
        <v>520</v>
      </c>
      <c r="E10" s="53">
        <f t="shared" si="0"/>
        <v>460</v>
      </c>
      <c r="F10" s="54">
        <f t="shared" si="1"/>
        <v>0.46938775510204084</v>
      </c>
      <c r="G10" s="52">
        <v>1200</v>
      </c>
      <c r="H10" s="52">
        <v>140000</v>
      </c>
      <c r="I10" s="55">
        <v>0.18</v>
      </c>
      <c r="J10" s="56">
        <f t="shared" si="2"/>
        <v>1176000</v>
      </c>
      <c r="K10" s="57">
        <f t="shared" si="3"/>
        <v>6.4551542430563186E-2</v>
      </c>
      <c r="L10" s="50" t="str">
        <f t="shared" si="4"/>
        <v>✅ Healthy</v>
      </c>
    </row>
    <row r="11" spans="1:12" ht="19.5" customHeight="1" x14ac:dyDescent="0.25">
      <c r="A11" s="58">
        <v>8</v>
      </c>
      <c r="B11" s="51" t="s">
        <v>104</v>
      </c>
      <c r="C11" s="52">
        <v>340</v>
      </c>
      <c r="D11" s="52">
        <v>245</v>
      </c>
      <c r="E11" s="53">
        <f t="shared" si="0"/>
        <v>95</v>
      </c>
      <c r="F11" s="54">
        <f t="shared" si="1"/>
        <v>0.27941176470588236</v>
      </c>
      <c r="G11" s="52">
        <v>5200</v>
      </c>
      <c r="H11" s="52">
        <v>75000</v>
      </c>
      <c r="I11" s="55">
        <v>0.12</v>
      </c>
      <c r="J11" s="59">
        <f t="shared" si="2"/>
        <v>1768000</v>
      </c>
      <c r="K11" s="60">
        <f t="shared" si="3"/>
        <v>9.7046876715336475E-2</v>
      </c>
      <c r="L11" s="58" t="str">
        <f t="shared" si="4"/>
        <v>✅ Healthy</v>
      </c>
    </row>
    <row r="12" spans="1:12" ht="21.75" customHeight="1" x14ac:dyDescent="0.25">
      <c r="A12" s="61" t="s">
        <v>105</v>
      </c>
      <c r="B12" s="61"/>
      <c r="C12" s="62"/>
      <c r="D12" s="62"/>
      <c r="E12" s="63"/>
      <c r="F12" s="64"/>
      <c r="G12" s="65">
        <f>SUM(G4:G11)</f>
        <v>39100</v>
      </c>
      <c r="H12" s="65">
        <f>SUM(H4:H11)</f>
        <v>1125000</v>
      </c>
      <c r="I12" s="62"/>
      <c r="J12" s="65">
        <f>SUM(J4:J11)</f>
        <v>18218000</v>
      </c>
      <c r="K12" s="66" t="s">
        <v>106</v>
      </c>
      <c r="L12" s="62"/>
    </row>
    <row r="14" spans="1:12" ht="15" customHeight="1" x14ac:dyDescent="0.25">
      <c r="A14" s="67" t="s">
        <v>107</v>
      </c>
      <c r="B14" s="67"/>
      <c r="C14" s="67"/>
      <c r="D14" s="67"/>
      <c r="E14" s="68">
        <f>SUMPRODUCT(E4:E11,G4:G11)/SUM(G4:G11)</f>
        <v>209.20716112531969</v>
      </c>
      <c r="F14" s="69">
        <f>IFERROR(E14/(J12/G12),0)</f>
        <v>0.44900647711054997</v>
      </c>
      <c r="G14" s="70"/>
      <c r="H14" s="70"/>
      <c r="I14" s="70"/>
      <c r="J14" s="70"/>
      <c r="K14" s="70"/>
      <c r="L14" s="70"/>
    </row>
    <row r="16" spans="1:12" ht="36.75" customHeight="1" x14ac:dyDescent="0.25">
      <c r="A16" s="35" t="s">
        <v>108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</row>
  </sheetData>
  <mergeCells count="5">
    <mergeCell ref="A1:L1"/>
    <mergeCell ref="A2:L2"/>
    <mergeCell ref="A12:B12"/>
    <mergeCell ref="A14:D14"/>
    <mergeCell ref="A16:L16"/>
  </mergeCells>
  <pageMargins left="0.75" right="0.75" top="1" bottom="1" header="0.511811023622047" footer="0.511811023622047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A04000"/>
  </sheetPr>
  <dimension ref="A1:J34"/>
  <sheetViews>
    <sheetView zoomScaleNormal="100" workbookViewId="0">
      <pane ySplit="3" topLeftCell="A17" activePane="bottomLeft" state="frozen"/>
      <selection pane="bottomLeft" activeCell="B23" sqref="B23:C23"/>
    </sheetView>
  </sheetViews>
  <sheetFormatPr defaultColWidth="8.7109375" defaultRowHeight="15" x14ac:dyDescent="0.25"/>
  <cols>
    <col min="1" max="1" width="28.5703125" style="1" customWidth="1"/>
    <col min="2" max="4" width="13" style="1" customWidth="1"/>
    <col min="5" max="5" width="14" style="1" customWidth="1"/>
    <col min="6" max="6" width="13" style="1" customWidth="1"/>
    <col min="7" max="7" width="14" style="1" customWidth="1"/>
    <col min="8" max="8" width="13" style="1" customWidth="1"/>
    <col min="9" max="9" width="14" style="1" customWidth="1"/>
    <col min="10" max="10" width="12" style="1" customWidth="1"/>
    <col min="11" max="16384" width="8.7109375" style="1"/>
  </cols>
  <sheetData>
    <row r="1" spans="1:10" ht="30" customHeight="1" x14ac:dyDescent="0.25">
      <c r="A1" s="26" t="s">
        <v>109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15" customHeight="1" x14ac:dyDescent="0.25">
      <c r="A2" s="27" t="s">
        <v>110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ht="21.75" customHeight="1" x14ac:dyDescent="0.25">
      <c r="A3" s="28" t="s">
        <v>111</v>
      </c>
      <c r="B3" s="28"/>
      <c r="C3" s="28"/>
      <c r="D3" s="28"/>
      <c r="E3" s="28"/>
      <c r="F3" s="28"/>
      <c r="G3" s="28"/>
      <c r="H3" s="28"/>
      <c r="I3" s="28"/>
      <c r="J3" s="28"/>
    </row>
    <row r="4" spans="1:10" ht="30" customHeight="1" x14ac:dyDescent="0.25">
      <c r="A4" s="71" t="s">
        <v>112</v>
      </c>
      <c r="B4" s="71"/>
      <c r="C4" s="71"/>
      <c r="D4" s="71"/>
      <c r="E4" s="71"/>
      <c r="F4" s="71"/>
      <c r="G4" s="71"/>
      <c r="H4" s="71"/>
      <c r="I4" s="71"/>
      <c r="J4" s="71"/>
    </row>
    <row r="5" spans="1:10" ht="35.25" customHeight="1" x14ac:dyDescent="0.25">
      <c r="A5" s="29" t="s">
        <v>113</v>
      </c>
      <c r="B5" s="29" t="s">
        <v>89</v>
      </c>
      <c r="C5" s="29" t="s">
        <v>90</v>
      </c>
      <c r="D5" s="29" t="s">
        <v>114</v>
      </c>
      <c r="E5" s="29" t="s">
        <v>115</v>
      </c>
      <c r="F5" s="29" t="s">
        <v>116</v>
      </c>
      <c r="G5" s="29" t="s">
        <v>117</v>
      </c>
      <c r="H5" s="29" t="s">
        <v>118</v>
      </c>
      <c r="I5" s="29" t="s">
        <v>119</v>
      </c>
      <c r="J5" s="29" t="s">
        <v>96</v>
      </c>
    </row>
    <row r="6" spans="1:10" ht="18.75" customHeight="1" x14ac:dyDescent="0.25">
      <c r="A6" s="72" t="str">
        <f>'📦 PRODUCT INPUTS'!B4</f>
        <v>Premium Widget A</v>
      </c>
      <c r="B6" s="73">
        <f>'📦 PRODUCT INPUTS'!E4</f>
        <v>370</v>
      </c>
      <c r="C6" s="74">
        <f>'📦 PRODUCT INPUTS'!F4</f>
        <v>0.43529411764705883</v>
      </c>
      <c r="D6" s="73">
        <f>'📦 PRODUCT INPUTS'!H4</f>
        <v>320000</v>
      </c>
      <c r="E6" s="75">
        <f t="shared" ref="E6:E13" si="0">IF(B6&lt;=0,"N/A",ROUNDUP(D6/B6,0))</f>
        <v>865</v>
      </c>
      <c r="F6" s="75">
        <f t="shared" ref="F6:F13" si="1">IF(B6&lt;=0,"N/A",E6*(B6/C6))</f>
        <v>735250</v>
      </c>
      <c r="G6" s="73">
        <f>'📦 PRODUCT INPUTS'!G4</f>
        <v>4500</v>
      </c>
      <c r="H6" s="56">
        <f t="shared" ref="H6:H13" si="2">IF(B6&lt;=0,"N/A",G6-E6)</f>
        <v>3635</v>
      </c>
      <c r="I6" s="57">
        <f t="shared" ref="I6:I13" si="3">IF(B6&lt;=0,"N/A",IFERROR(H6/G6,0))</f>
        <v>0.80777777777777782</v>
      </c>
      <c r="J6" s="76" t="str">
        <f t="shared" ref="J6:J13" si="4">IF(B6&lt;=0,"🔴 Never Breaks Even",IF(H6&lt;0,"🔴 Below BE",IF(I6&lt;0.15,"🟡 Thin Buffer","✅ Safe")))</f>
        <v>✅ Safe</v>
      </c>
    </row>
    <row r="7" spans="1:10" ht="18.75" customHeight="1" x14ac:dyDescent="0.25">
      <c r="A7" s="72" t="str">
        <f>'📦 PRODUCT INPUTS'!B5</f>
        <v>Standard Widget B</v>
      </c>
      <c r="B7" s="73">
        <f>'📦 PRODUCT INPUTS'!E5</f>
        <v>210</v>
      </c>
      <c r="C7" s="74">
        <f>'📦 PRODUCT INPUTS'!F5</f>
        <v>0.40384615384615385</v>
      </c>
      <c r="D7" s="73">
        <f>'📦 PRODUCT INPUTS'!H5</f>
        <v>180000</v>
      </c>
      <c r="E7" s="75">
        <f t="shared" si="0"/>
        <v>858</v>
      </c>
      <c r="F7" s="75">
        <f t="shared" si="1"/>
        <v>446160</v>
      </c>
      <c r="G7" s="73">
        <f>'📦 PRODUCT INPUTS'!G5</f>
        <v>6200</v>
      </c>
      <c r="H7" s="59">
        <f t="shared" si="2"/>
        <v>5342</v>
      </c>
      <c r="I7" s="60">
        <f t="shared" si="3"/>
        <v>0.86161290322580641</v>
      </c>
      <c r="J7" s="76" t="str">
        <f t="shared" si="4"/>
        <v>✅ Safe</v>
      </c>
    </row>
    <row r="8" spans="1:10" ht="18.75" customHeight="1" x14ac:dyDescent="0.25">
      <c r="A8" s="72" t="str">
        <f>'📦 PRODUCT INPUTS'!B6</f>
        <v>Economy Widget C</v>
      </c>
      <c r="B8" s="73">
        <f>'📦 PRODUCT INPUTS'!E6</f>
        <v>105</v>
      </c>
      <c r="C8" s="74">
        <f>'📦 PRODUCT INPUTS'!F6</f>
        <v>0.375</v>
      </c>
      <c r="D8" s="73">
        <f>'📦 PRODUCT INPUTS'!H6</f>
        <v>95000</v>
      </c>
      <c r="E8" s="75">
        <f t="shared" si="0"/>
        <v>905</v>
      </c>
      <c r="F8" s="75">
        <f t="shared" si="1"/>
        <v>253400</v>
      </c>
      <c r="G8" s="73">
        <f>'📦 PRODUCT INPUTS'!G6</f>
        <v>8500</v>
      </c>
      <c r="H8" s="56">
        <f t="shared" si="2"/>
        <v>7595</v>
      </c>
      <c r="I8" s="57">
        <f t="shared" si="3"/>
        <v>0.89352941176470591</v>
      </c>
      <c r="J8" s="76" t="str">
        <f t="shared" si="4"/>
        <v>✅ Safe</v>
      </c>
    </row>
    <row r="9" spans="1:10" ht="18.75" customHeight="1" x14ac:dyDescent="0.25">
      <c r="A9" s="72" t="str">
        <f>'📦 PRODUCT INPUTS'!B7</f>
        <v>Deluxe Bundle Kit</v>
      </c>
      <c r="B9" s="73">
        <f>'📦 PRODUCT INPUTS'!E7</f>
        <v>670</v>
      </c>
      <c r="C9" s="74">
        <f>'📦 PRODUCT INPUTS'!F7</f>
        <v>0.46206896551724136</v>
      </c>
      <c r="D9" s="73">
        <f>'📦 PRODUCT INPUTS'!H7</f>
        <v>210000</v>
      </c>
      <c r="E9" s="75">
        <f t="shared" si="0"/>
        <v>314</v>
      </c>
      <c r="F9" s="75">
        <f t="shared" si="1"/>
        <v>455300</v>
      </c>
      <c r="G9" s="73">
        <f>'📦 PRODUCT INPUTS'!G7</f>
        <v>1800</v>
      </c>
      <c r="H9" s="59">
        <f t="shared" si="2"/>
        <v>1486</v>
      </c>
      <c r="I9" s="60">
        <f t="shared" si="3"/>
        <v>0.8255555555555556</v>
      </c>
      <c r="J9" s="76" t="str">
        <f t="shared" si="4"/>
        <v>✅ Safe</v>
      </c>
    </row>
    <row r="10" spans="1:10" ht="18.75" customHeight="1" x14ac:dyDescent="0.25">
      <c r="A10" s="72" t="str">
        <f>'📦 PRODUCT INPUTS'!B8</f>
        <v>Accessory Pack</v>
      </c>
      <c r="B10" s="73">
        <f>'📦 PRODUCT INPUTS'!E8</f>
        <v>95</v>
      </c>
      <c r="C10" s="74">
        <f>'📦 PRODUCT INPUTS'!F8</f>
        <v>0.5</v>
      </c>
      <c r="D10" s="73">
        <f>'📦 PRODUCT INPUTS'!H8</f>
        <v>60000</v>
      </c>
      <c r="E10" s="75">
        <f t="shared" si="0"/>
        <v>632</v>
      </c>
      <c r="F10" s="75">
        <f t="shared" si="1"/>
        <v>120080</v>
      </c>
      <c r="G10" s="73">
        <f>'📦 PRODUCT INPUTS'!G8</f>
        <v>9500</v>
      </c>
      <c r="H10" s="56">
        <f t="shared" si="2"/>
        <v>8868</v>
      </c>
      <c r="I10" s="57">
        <f t="shared" si="3"/>
        <v>0.93347368421052634</v>
      </c>
      <c r="J10" s="76" t="str">
        <f t="shared" si="4"/>
        <v>✅ Safe</v>
      </c>
    </row>
    <row r="11" spans="1:10" ht="18.75" customHeight="1" x14ac:dyDescent="0.25">
      <c r="A11" s="72" t="str">
        <f>'📦 PRODUCT INPUTS'!B9</f>
        <v>Service Add-on</v>
      </c>
      <c r="B11" s="73">
        <f>'📦 PRODUCT INPUTS'!E9</f>
        <v>530</v>
      </c>
      <c r="C11" s="74">
        <f>'📦 PRODUCT INPUTS'!F9</f>
        <v>0.81538461538461537</v>
      </c>
      <c r="D11" s="73">
        <f>'📦 PRODUCT INPUTS'!H9</f>
        <v>45000</v>
      </c>
      <c r="E11" s="75">
        <f t="shared" si="0"/>
        <v>85</v>
      </c>
      <c r="F11" s="75">
        <f t="shared" si="1"/>
        <v>55250</v>
      </c>
      <c r="G11" s="73">
        <f>'📦 PRODUCT INPUTS'!G9</f>
        <v>2200</v>
      </c>
      <c r="H11" s="59">
        <f t="shared" si="2"/>
        <v>2115</v>
      </c>
      <c r="I11" s="60">
        <f t="shared" si="3"/>
        <v>0.96136363636363631</v>
      </c>
      <c r="J11" s="76" t="str">
        <f t="shared" si="4"/>
        <v>✅ Safe</v>
      </c>
    </row>
    <row r="12" spans="1:10" ht="18.75" customHeight="1" x14ac:dyDescent="0.25">
      <c r="A12" s="72" t="str">
        <f>'📦 PRODUCT INPUTS'!B10</f>
        <v>Corporate Gift Set</v>
      </c>
      <c r="B12" s="73">
        <f>'📦 PRODUCT INPUTS'!E10</f>
        <v>460</v>
      </c>
      <c r="C12" s="74">
        <f>'📦 PRODUCT INPUTS'!F10</f>
        <v>0.46938775510204084</v>
      </c>
      <c r="D12" s="73">
        <f>'📦 PRODUCT INPUTS'!H10</f>
        <v>140000</v>
      </c>
      <c r="E12" s="77">
        <f t="shared" si="0"/>
        <v>305</v>
      </c>
      <c r="F12" s="77">
        <f t="shared" si="1"/>
        <v>298900</v>
      </c>
      <c r="G12" s="73">
        <f>'📦 PRODUCT INPUTS'!G10</f>
        <v>1200</v>
      </c>
      <c r="H12" s="78">
        <f t="shared" si="2"/>
        <v>895</v>
      </c>
      <c r="I12" s="78">
        <f t="shared" si="3"/>
        <v>0.74583333333333335</v>
      </c>
      <c r="J12" s="76" t="str">
        <f t="shared" si="4"/>
        <v>✅ Safe</v>
      </c>
    </row>
    <row r="13" spans="1:10" ht="18.75" customHeight="1" x14ac:dyDescent="0.25">
      <c r="A13" s="90" t="str">
        <f>'📦 PRODUCT INPUTS'!B11</f>
        <v>Bulk Wholesale Pack</v>
      </c>
      <c r="B13" s="73">
        <f>'📦 PRODUCT INPUTS'!E11</f>
        <v>95</v>
      </c>
      <c r="C13" s="74">
        <f>'📦 PRODUCT INPUTS'!F11</f>
        <v>0.27941176470588236</v>
      </c>
      <c r="D13" s="73">
        <f>'📦 PRODUCT INPUTS'!H11</f>
        <v>75000</v>
      </c>
      <c r="E13" s="77">
        <f t="shared" si="0"/>
        <v>790</v>
      </c>
      <c r="F13" s="77">
        <f t="shared" si="1"/>
        <v>268600</v>
      </c>
      <c r="G13" s="73">
        <f>'📦 PRODUCT INPUTS'!G11</f>
        <v>5200</v>
      </c>
      <c r="H13" s="79">
        <f t="shared" si="2"/>
        <v>4410</v>
      </c>
      <c r="I13" s="79">
        <f t="shared" si="3"/>
        <v>0.84807692307692306</v>
      </c>
      <c r="J13" s="76" t="str">
        <f t="shared" si="4"/>
        <v>✅ Safe</v>
      </c>
    </row>
    <row r="14" spans="1:10" ht="21.75" customHeight="1" x14ac:dyDescent="0.25">
      <c r="A14" s="30"/>
      <c r="B14" s="80"/>
      <c r="D14" s="81"/>
      <c r="E14" s="81"/>
      <c r="F14" s="81"/>
      <c r="G14" s="81"/>
      <c r="H14" s="81"/>
      <c r="I14" s="81"/>
      <c r="J14" s="81"/>
    </row>
    <row r="15" spans="1:10" ht="21.75" customHeight="1" x14ac:dyDescent="0.25">
      <c r="A15" s="61" t="s">
        <v>120</v>
      </c>
      <c r="B15" s="61"/>
      <c r="C15" s="61"/>
      <c r="D15" s="61"/>
      <c r="E15" s="61"/>
      <c r="F15" s="61"/>
      <c r="G15" s="61"/>
      <c r="H15" s="61"/>
      <c r="I15" s="61"/>
      <c r="J15" s="61"/>
    </row>
    <row r="16" spans="1:10" ht="18.75" customHeight="1" x14ac:dyDescent="0.25">
      <c r="A16" s="30" t="s">
        <v>121</v>
      </c>
      <c r="B16" s="82">
        <f>'📦 PRODUCT INPUTS'!$H$12</f>
        <v>1125000</v>
      </c>
      <c r="C16" s="82"/>
      <c r="D16" s="81"/>
      <c r="E16" s="81"/>
      <c r="F16" s="81"/>
      <c r="G16" s="81"/>
      <c r="H16" s="81"/>
      <c r="I16" s="81"/>
      <c r="J16" s="81"/>
    </row>
    <row r="17" spans="1:10" ht="24.75" customHeight="1" x14ac:dyDescent="0.25">
      <c r="A17" s="30" t="s">
        <v>122</v>
      </c>
      <c r="B17" s="82">
        <f>'📦 PRODUCT INPUTS'!$E$14</f>
        <v>209.20716112531969</v>
      </c>
      <c r="C17" s="82"/>
      <c r="D17" s="81"/>
      <c r="E17" s="81"/>
      <c r="F17" s="81"/>
      <c r="G17" s="81"/>
      <c r="H17" s="81"/>
      <c r="I17" s="81"/>
      <c r="J17" s="81"/>
    </row>
    <row r="18" spans="1:10" ht="24.75" customHeight="1" x14ac:dyDescent="0.25">
      <c r="A18" s="30" t="s">
        <v>123</v>
      </c>
      <c r="B18" s="83">
        <f>'📦 PRODUCT INPUTS'!$F$14</f>
        <v>0.44900647711054997</v>
      </c>
      <c r="C18" s="83"/>
      <c r="D18" s="81"/>
      <c r="E18" s="81"/>
      <c r="F18" s="81"/>
      <c r="G18" s="81"/>
      <c r="H18" s="81"/>
      <c r="I18" s="81"/>
      <c r="J18" s="81"/>
    </row>
    <row r="19" spans="1:10" ht="28.5" customHeight="1" x14ac:dyDescent="0.25">
      <c r="A19" s="30" t="s">
        <v>124</v>
      </c>
      <c r="B19" s="84">
        <f>IFERROR(ROUNDUP(B16/B17,0),0)</f>
        <v>5378</v>
      </c>
      <c r="C19" s="84"/>
      <c r="D19" s="81"/>
      <c r="E19" s="81"/>
      <c r="F19" s="81"/>
      <c r="G19" s="81"/>
      <c r="H19" s="81"/>
      <c r="I19" s="81"/>
      <c r="J19" s="81"/>
    </row>
    <row r="20" spans="1:10" ht="18.75" customHeight="1" x14ac:dyDescent="0.25">
      <c r="A20" s="30" t="s">
        <v>125</v>
      </c>
      <c r="B20" s="84">
        <f>IFERROR(B16/B18,0)</f>
        <v>2505531.784841076</v>
      </c>
      <c r="C20" s="84"/>
      <c r="D20" s="81"/>
      <c r="E20" s="81"/>
      <c r="F20" s="81"/>
      <c r="G20" s="81"/>
      <c r="H20" s="81"/>
      <c r="I20" s="81"/>
      <c r="J20" s="81"/>
    </row>
    <row r="21" spans="1:10" ht="18.75" customHeight="1" x14ac:dyDescent="0.25">
      <c r="A21" s="30" t="s">
        <v>126</v>
      </c>
      <c r="B21" s="82">
        <f>'📦 PRODUCT INPUTS'!$G$12</f>
        <v>39100</v>
      </c>
      <c r="C21" s="82"/>
      <c r="D21" s="81"/>
      <c r="E21" s="81"/>
      <c r="F21" s="81"/>
      <c r="G21" s="81"/>
      <c r="H21" s="81"/>
      <c r="I21" s="81"/>
      <c r="J21" s="81"/>
    </row>
    <row r="22" spans="1:10" ht="18.75" customHeight="1" x14ac:dyDescent="0.25">
      <c r="A22" s="30" t="s">
        <v>127</v>
      </c>
      <c r="B22" s="82">
        <f>'📦 PRODUCT INPUTS'!$J$12</f>
        <v>18218000</v>
      </c>
      <c r="C22" s="82"/>
      <c r="D22" s="81"/>
      <c r="E22" s="81"/>
      <c r="F22" s="81"/>
      <c r="G22" s="81"/>
      <c r="H22" s="81"/>
      <c r="I22" s="81"/>
      <c r="J22" s="81"/>
    </row>
    <row r="23" spans="1:10" ht="18.75" customHeight="1" x14ac:dyDescent="0.25">
      <c r="A23" s="30" t="s">
        <v>128</v>
      </c>
      <c r="B23" s="85">
        <f>B21-B19</f>
        <v>33722</v>
      </c>
      <c r="C23" s="85"/>
      <c r="D23" s="81"/>
      <c r="E23" s="81"/>
      <c r="F23" s="81"/>
      <c r="G23" s="81"/>
      <c r="H23" s="81"/>
      <c r="I23" s="81"/>
      <c r="J23" s="81"/>
    </row>
    <row r="24" spans="1:10" ht="18.75" customHeight="1" x14ac:dyDescent="0.25">
      <c r="A24" s="30" t="s">
        <v>129</v>
      </c>
      <c r="B24" s="86">
        <f>IFERROR(B23/B21,0)</f>
        <v>0.86245524296675191</v>
      </c>
      <c r="C24" s="86"/>
      <c r="D24" s="81"/>
      <c r="E24" s="81"/>
      <c r="F24" s="81"/>
      <c r="G24" s="81"/>
      <c r="H24" s="81"/>
      <c r="I24" s="81"/>
      <c r="J24" s="81"/>
    </row>
    <row r="25" spans="1:10" ht="18.75" customHeight="1" x14ac:dyDescent="0.25">
      <c r="A25" s="30" t="s">
        <v>130</v>
      </c>
      <c r="B25" s="85">
        <f>B22-B20</f>
        <v>15712468.215158924</v>
      </c>
      <c r="C25" s="85"/>
      <c r="D25" s="81"/>
      <c r="E25" s="81"/>
      <c r="F25" s="81"/>
      <c r="G25" s="81"/>
      <c r="H25" s="81"/>
      <c r="I25" s="81"/>
      <c r="J25" s="81"/>
    </row>
    <row r="26" spans="1:10" ht="21.75" customHeight="1" x14ac:dyDescent="0.25">
      <c r="A26" s="30"/>
      <c r="B26" s="80"/>
      <c r="D26" s="81"/>
      <c r="E26" s="81"/>
      <c r="F26" s="81"/>
      <c r="G26" s="81"/>
      <c r="H26" s="81"/>
      <c r="I26" s="81"/>
      <c r="J26" s="81"/>
    </row>
    <row r="27" spans="1:10" ht="21.75" customHeight="1" x14ac:dyDescent="0.25">
      <c r="A27" s="87" t="s">
        <v>131</v>
      </c>
      <c r="B27" s="87"/>
      <c r="C27" s="87"/>
      <c r="D27" s="87"/>
      <c r="E27" s="87"/>
      <c r="F27" s="87"/>
      <c r="G27" s="87"/>
      <c r="H27" s="87"/>
      <c r="I27" s="87"/>
      <c r="J27" s="87"/>
    </row>
    <row r="28" spans="1:10" ht="18.75" customHeight="1" x14ac:dyDescent="0.25">
      <c r="A28" s="30" t="s">
        <v>132</v>
      </c>
      <c r="B28" s="88">
        <f>'⚙ SETUP'!$B$11</f>
        <v>200000</v>
      </c>
      <c r="C28" s="88"/>
      <c r="D28" s="81"/>
      <c r="E28" s="81"/>
      <c r="F28" s="81"/>
      <c r="G28" s="81"/>
      <c r="H28" s="81"/>
      <c r="I28" s="81"/>
      <c r="J28" s="81"/>
    </row>
    <row r="29" spans="1:10" ht="27.75" customHeight="1" x14ac:dyDescent="0.25">
      <c r="A29" s="30" t="s">
        <v>133</v>
      </c>
      <c r="B29" s="89">
        <f>B28/(1-'⚙ SETUP'!$B$5)</f>
        <v>267272.48429774155</v>
      </c>
      <c r="C29" s="89"/>
      <c r="D29" s="81"/>
      <c r="E29" s="81"/>
      <c r="F29" s="81"/>
      <c r="G29" s="81"/>
      <c r="H29" s="81"/>
      <c r="I29" s="81"/>
      <c r="J29" s="81"/>
    </row>
    <row r="30" spans="1:10" ht="32.25" customHeight="1" x14ac:dyDescent="0.25">
      <c r="A30" s="30" t="s">
        <v>134</v>
      </c>
      <c r="B30" s="89">
        <f>B16+B29</f>
        <v>1392272.4842977417</v>
      </c>
      <c r="C30" s="89"/>
      <c r="D30" s="81"/>
      <c r="E30" s="81"/>
      <c r="F30" s="81"/>
      <c r="G30" s="81"/>
      <c r="H30" s="81"/>
      <c r="I30" s="81"/>
      <c r="J30" s="81"/>
    </row>
    <row r="31" spans="1:10" ht="18.75" customHeight="1" x14ac:dyDescent="0.25">
      <c r="A31" s="30" t="s">
        <v>135</v>
      </c>
      <c r="B31" s="84">
        <f>IFERROR(ROUNDUP(B30/B17,0),0)</f>
        <v>6655</v>
      </c>
      <c r="C31" s="84"/>
      <c r="D31" s="81"/>
      <c r="E31" s="81"/>
      <c r="F31" s="81"/>
      <c r="G31" s="81"/>
      <c r="H31" s="81"/>
      <c r="I31" s="81"/>
      <c r="J31" s="81"/>
    </row>
    <row r="32" spans="1:10" ht="18.75" customHeight="1" x14ac:dyDescent="0.25">
      <c r="A32" s="30" t="s">
        <v>136</v>
      </c>
      <c r="B32" s="84">
        <f>IFERROR(B30/B18,0)</f>
        <v>3100784.8556156796</v>
      </c>
      <c r="C32" s="84"/>
      <c r="D32" s="81"/>
      <c r="E32" s="81"/>
      <c r="F32" s="81"/>
      <c r="G32" s="81"/>
      <c r="H32" s="81"/>
      <c r="I32" s="81"/>
      <c r="J32" s="81"/>
    </row>
    <row r="34" spans="1:10" ht="27.75" customHeight="1" x14ac:dyDescent="0.25">
      <c r="A34" s="35" t="s">
        <v>137</v>
      </c>
      <c r="B34" s="35"/>
      <c r="C34" s="35"/>
      <c r="D34" s="35"/>
      <c r="E34" s="35"/>
      <c r="F34" s="35"/>
      <c r="G34" s="35"/>
      <c r="H34" s="35"/>
      <c r="I34" s="35"/>
      <c r="J34" s="35"/>
    </row>
  </sheetData>
  <sheetProtection algorithmName="SHA-512" hashValue="1YhpXLGhk2Sbo6dvOv1A1gIK4pGfvMRZtU785ANhSOMrp67z1Sg885QTOsugSnjebgK6SGtfxOjPQh948oQ87A==" saltValue="dNXyQE0CCC5nCzU2OWa/ew==" spinCount="100000" sheet="1" objects="1" scenarios="1"/>
  <mergeCells count="22">
    <mergeCell ref="A1:J1"/>
    <mergeCell ref="A2:J2"/>
    <mergeCell ref="A3:J3"/>
    <mergeCell ref="A4:J4"/>
    <mergeCell ref="A15:J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32:C32"/>
    <mergeCell ref="A34:J34"/>
    <mergeCell ref="A27:J27"/>
    <mergeCell ref="B28:C28"/>
    <mergeCell ref="B29:C29"/>
    <mergeCell ref="B30:C30"/>
    <mergeCell ref="B31:C31"/>
  </mergeCells>
  <pageMargins left="0.75" right="0.75" top="1" bottom="1" header="0.511811023622047" footer="0.511811023622047"/>
  <pageSetup paperSize="9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D4AC0D"/>
  </sheetPr>
  <dimension ref="A1:C23"/>
  <sheetViews>
    <sheetView zoomScaleNormal="100" workbookViewId="0">
      <pane ySplit="2" topLeftCell="A3" activePane="bottomLeft" state="frozen"/>
      <selection pane="bottomLeft" activeCell="B4" sqref="B1:B1048576"/>
    </sheetView>
  </sheetViews>
  <sheetFormatPr defaultColWidth="8.7109375" defaultRowHeight="15" x14ac:dyDescent="0.25"/>
  <cols>
    <col min="1" max="1" width="42" style="1" customWidth="1"/>
    <col min="2" max="2" width="18" style="1" customWidth="1"/>
    <col min="3" max="3" width="49.42578125" style="1" customWidth="1"/>
    <col min="4" max="16384" width="8.7109375" style="1"/>
  </cols>
  <sheetData>
    <row r="1" spans="1:3" ht="30" customHeight="1" x14ac:dyDescent="0.25">
      <c r="A1" s="26" t="s">
        <v>138</v>
      </c>
      <c r="B1" s="26"/>
      <c r="C1" s="26"/>
    </row>
    <row r="2" spans="1:3" ht="15" customHeight="1" x14ac:dyDescent="0.25">
      <c r="A2" s="27" t="s">
        <v>139</v>
      </c>
      <c r="B2" s="27"/>
      <c r="C2" s="27"/>
    </row>
    <row r="3" spans="1:3" ht="21.75" customHeight="1" x14ac:dyDescent="0.25">
      <c r="A3" s="28" t="s">
        <v>140</v>
      </c>
      <c r="B3" s="28"/>
      <c r="C3" s="28"/>
    </row>
    <row r="4" spans="1:3" ht="21.75" customHeight="1" x14ac:dyDescent="0.25">
      <c r="A4" s="30" t="s">
        <v>141</v>
      </c>
      <c r="B4" s="91">
        <f>'📊 BREAK-EVEN ANALYSIS'!$B$17*'📊 BREAK-EVEN ANALYSIS'!$B$21</f>
        <v>8180000</v>
      </c>
      <c r="C4" s="81"/>
    </row>
    <row r="5" spans="1:3" ht="15" customHeight="1" x14ac:dyDescent="0.25">
      <c r="A5" s="30" t="s">
        <v>142</v>
      </c>
      <c r="B5" s="91">
        <f>B4-'📊 BREAK-EVEN ANALYSIS'!$B$16</f>
        <v>7055000</v>
      </c>
      <c r="C5" s="81"/>
    </row>
    <row r="6" spans="1:3" ht="33" customHeight="1" x14ac:dyDescent="0.25">
      <c r="A6" s="30" t="s">
        <v>143</v>
      </c>
      <c r="B6" s="92">
        <f>IF(B5&lt;=0,"N/M — Operating Loss",B4/B5)</f>
        <v>1.1594613749114104</v>
      </c>
      <c r="C6" s="31" t="s">
        <v>144</v>
      </c>
    </row>
    <row r="8" spans="1:3" ht="21.75" customHeight="1" x14ac:dyDescent="0.25">
      <c r="A8" s="32" t="s">
        <v>145</v>
      </c>
      <c r="B8" s="32"/>
      <c r="C8" s="32"/>
    </row>
    <row r="9" spans="1:3" ht="21.75" customHeight="1" x14ac:dyDescent="0.25">
      <c r="A9" s="30" t="s">
        <v>146</v>
      </c>
      <c r="B9" s="91">
        <f>'📊 BREAK-EVEN ANALYSIS'!$B$19</f>
        <v>5378</v>
      </c>
      <c r="C9" s="81"/>
    </row>
    <row r="10" spans="1:3" ht="45.75" customHeight="1" x14ac:dyDescent="0.25">
      <c r="A10" s="30" t="s">
        <v>147</v>
      </c>
      <c r="B10" s="91">
        <f>'⚙ SETUP'!$B$7</f>
        <v>0</v>
      </c>
      <c r="C10" s="93" t="s">
        <v>148</v>
      </c>
    </row>
    <row r="11" spans="1:3" ht="21.75" customHeight="1" x14ac:dyDescent="0.25">
      <c r="A11" s="30" t="s">
        <v>149</v>
      </c>
      <c r="B11" s="59">
        <f>'📊 BREAK-EVEN ANALYSIS'!$B$16-B10</f>
        <v>1125000</v>
      </c>
      <c r="C11" s="81"/>
    </row>
    <row r="12" spans="1:3" ht="21.75" customHeight="1" x14ac:dyDescent="0.25">
      <c r="A12" s="30" t="s">
        <v>150</v>
      </c>
      <c r="B12" s="94">
        <f>IF(B11&lt;=0,"No Cash Fixed-Cost Burden",IFERROR(ROUNDUP(B11/'📊 BREAK-EVEN ANALYSIS'!$B$17,0),0))</f>
        <v>5378</v>
      </c>
      <c r="C12" s="81"/>
    </row>
    <row r="13" spans="1:3" ht="36.75" customHeight="1" x14ac:dyDescent="0.25">
      <c r="A13" s="30" t="s">
        <v>151</v>
      </c>
      <c r="B13" s="59">
        <f>IF(ISNUMBER(B12),B9-B12,"N/A")</f>
        <v>0</v>
      </c>
      <c r="C13" s="31" t="s">
        <v>152</v>
      </c>
    </row>
    <row r="15" spans="1:3" ht="21.75" customHeight="1" x14ac:dyDescent="0.25">
      <c r="A15" s="34" t="s">
        <v>153</v>
      </c>
      <c r="B15" s="34"/>
      <c r="C15" s="34"/>
    </row>
    <row r="16" spans="1:3" ht="15" customHeight="1" x14ac:dyDescent="0.25">
      <c r="A16" s="30" t="s">
        <v>154</v>
      </c>
      <c r="B16" s="91">
        <f>'📊 BREAK-EVEN ANALYSIS'!$B$19</f>
        <v>5378</v>
      </c>
      <c r="C16" s="81"/>
    </row>
    <row r="17" spans="1:3" ht="15" customHeight="1" x14ac:dyDescent="0.25">
      <c r="A17" s="30" t="s">
        <v>155</v>
      </c>
      <c r="B17" s="91">
        <f>'📊 BREAK-EVEN ANALYSIS'!$B$21</f>
        <v>39100</v>
      </c>
      <c r="C17" s="81"/>
    </row>
    <row r="18" spans="1:3" ht="15" customHeight="1" x14ac:dyDescent="0.25">
      <c r="A18" s="30" t="s">
        <v>56</v>
      </c>
      <c r="B18" s="91">
        <f>'⚙ SETUP'!$B$6</f>
        <v>26</v>
      </c>
      <c r="C18" s="81"/>
    </row>
    <row r="19" spans="1:3" ht="18.75" customHeight="1" x14ac:dyDescent="0.25">
      <c r="A19" s="30" t="s">
        <v>156</v>
      </c>
      <c r="B19" s="95">
        <f>IF(B17&lt;=0,"N/M",IF(B16&gt;B17,"Not Reached",ROUNDUP((B16/B17)*B18,0)))</f>
        <v>4</v>
      </c>
      <c r="C19" s="31" t="s">
        <v>157</v>
      </c>
    </row>
    <row r="20" spans="1:3" ht="15" customHeight="1" x14ac:dyDescent="0.25">
      <c r="A20" s="30" t="s">
        <v>158</v>
      </c>
      <c r="B20" s="60">
        <f>IFERROR(B16/B17,0)</f>
        <v>0.13754475703324809</v>
      </c>
      <c r="C20" s="81"/>
    </row>
    <row r="23" spans="1:3" ht="31.5" customHeight="1" x14ac:dyDescent="0.25">
      <c r="A23" s="35" t="s">
        <v>159</v>
      </c>
      <c r="B23" s="35"/>
      <c r="C23" s="35"/>
    </row>
  </sheetData>
  <sheetProtection algorithmName="SHA-512" hashValue="+Z47u6AF8lwTvOxE0mQ+ixO6/0IWlOc5Ij8oe6SRvLQSiQvCHBtVftqceq0dFEaDioEdNnNtqU7/97HW1VwWiA==" saltValue="L6hugpDP8FOs70TD52qRew==" spinCount="100000" sheet="1" objects="1" scenarios="1"/>
  <mergeCells count="6">
    <mergeCell ref="A23:C23"/>
    <mergeCell ref="A1:C1"/>
    <mergeCell ref="A2:C2"/>
    <mergeCell ref="A3:C3"/>
    <mergeCell ref="A8:C8"/>
    <mergeCell ref="A15:C15"/>
  </mergeCells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2B21"/>
  </sheetPr>
  <dimension ref="A1:H24"/>
  <sheetViews>
    <sheetView zoomScaleNormal="100" workbookViewId="0">
      <pane ySplit="3" topLeftCell="A7" activePane="bottomLeft" state="frozen"/>
      <selection pane="bottomLeft" sqref="A1:H22"/>
    </sheetView>
  </sheetViews>
  <sheetFormatPr defaultColWidth="8.7109375" defaultRowHeight="15" x14ac:dyDescent="0.25"/>
  <cols>
    <col min="1" max="1" width="36.7109375" style="1" customWidth="1"/>
    <col min="2" max="6" width="13" style="1" customWidth="1"/>
    <col min="7" max="7" width="16" style="1" customWidth="1"/>
    <col min="8" max="8" width="42.28515625" style="1" customWidth="1"/>
    <col min="9" max="16384" width="8.7109375" style="1"/>
  </cols>
  <sheetData>
    <row r="1" spans="1:8" ht="30" customHeight="1" x14ac:dyDescent="0.25">
      <c r="A1" s="26" t="s">
        <v>160</v>
      </c>
      <c r="B1" s="26"/>
      <c r="C1" s="26"/>
      <c r="D1" s="26"/>
      <c r="E1" s="26"/>
      <c r="F1" s="26"/>
      <c r="G1" s="26"/>
      <c r="H1" s="26"/>
    </row>
    <row r="2" spans="1:8" ht="15" customHeight="1" x14ac:dyDescent="0.25">
      <c r="A2" s="27" t="s">
        <v>161</v>
      </c>
      <c r="B2" s="27"/>
      <c r="C2" s="27"/>
      <c r="D2" s="27"/>
      <c r="E2" s="27"/>
      <c r="F2" s="27"/>
      <c r="G2" s="27"/>
      <c r="H2" s="27"/>
    </row>
    <row r="3" spans="1:8" ht="21.75" customHeight="1" x14ac:dyDescent="0.25">
      <c r="A3" s="32" t="s">
        <v>162</v>
      </c>
      <c r="B3" s="32"/>
      <c r="C3" s="32"/>
      <c r="D3" s="32"/>
      <c r="E3" s="32"/>
      <c r="F3" s="32"/>
      <c r="G3" s="32"/>
      <c r="H3" s="32"/>
    </row>
    <row r="4" spans="1:8" ht="54" customHeight="1" x14ac:dyDescent="0.25">
      <c r="A4" s="29" t="s">
        <v>163</v>
      </c>
      <c r="B4" s="29" t="s">
        <v>164</v>
      </c>
      <c r="C4" s="29" t="s">
        <v>165</v>
      </c>
      <c r="D4" s="29" t="s">
        <v>166</v>
      </c>
      <c r="E4" s="29" t="s">
        <v>167</v>
      </c>
      <c r="F4" s="29" t="s">
        <v>168</v>
      </c>
      <c r="G4" s="29" t="s">
        <v>169</v>
      </c>
      <c r="H4" s="29" t="s">
        <v>170</v>
      </c>
    </row>
    <row r="5" spans="1:8" ht="18.75" customHeight="1" x14ac:dyDescent="0.25">
      <c r="A5" s="96" t="s">
        <v>171</v>
      </c>
      <c r="B5" s="97">
        <v>0</v>
      </c>
      <c r="C5" s="97">
        <v>0</v>
      </c>
      <c r="D5" s="97">
        <v>0</v>
      </c>
      <c r="E5" s="98">
        <f>IFERROR(((('📦 PRODUCT INPUTS'!$J$12/'📦 PRODUCT INPUTS'!$G$12)*(1+B5))-((('📦 PRODUCT INPUTS'!$J$12/'📦 PRODUCT INPUTS'!$G$12)-'📊 BREAK-EVEN ANALYSIS'!$B$17)*(1+C5)))/(('📦 PRODUCT INPUTS'!$J$12/'📦 PRODUCT INPUTS'!$G$12)*(1+B5)),0)</f>
        <v>0.44900647711055008</v>
      </c>
      <c r="F5" s="75">
        <f>IFERROR(ROUNDUP(('📊 BREAK-EVEN ANALYSIS'!$B$16*(1+D5))/(((('📦 PRODUCT INPUTS'!$J$12/'📦 PRODUCT INPUTS'!$G$12)*(1+B5))-((('📦 PRODUCT INPUTS'!$J$12/'📦 PRODUCT INPUTS'!$G$12)-'📊 BREAK-EVEN ANALYSIS'!$B$17)*(1+C5)))),0),0)</f>
        <v>5378</v>
      </c>
      <c r="G5" s="99">
        <f>F5-'📊 BREAK-EVEN ANALYSIS'!$B$19</f>
        <v>0</v>
      </c>
      <c r="H5" s="100" t="s">
        <v>172</v>
      </c>
    </row>
    <row r="6" spans="1:8" ht="18.75" customHeight="1" x14ac:dyDescent="0.25">
      <c r="A6" s="30" t="str">
        <f>"Price +"&amp;TEXT('⚙ SETUP'!$B$15,"0%")</f>
        <v>Price +10%</v>
      </c>
      <c r="B6" s="97">
        <f>'⚙ SETUP'!$B$15</f>
        <v>0.1</v>
      </c>
      <c r="C6" s="97">
        <v>0</v>
      </c>
      <c r="D6" s="97">
        <v>0</v>
      </c>
      <c r="E6" s="60">
        <f>IFERROR(((('📦 PRODUCT INPUTS'!$J$12/'📦 PRODUCT INPUTS'!$G$12)*(1+B6))-((('📦 PRODUCT INPUTS'!$J$12/'📦 PRODUCT INPUTS'!$G$12)-'📊 BREAK-EVEN ANALYSIS'!$B$17)*(1+C6)))/(('📦 PRODUCT INPUTS'!$J$12/'📦 PRODUCT INPUTS'!$G$12)*(1+B6)),0)</f>
        <v>0.49909679737322732</v>
      </c>
      <c r="F6" s="75">
        <f>IFERROR(ROUNDUP(('📊 BREAK-EVEN ANALYSIS'!$B$16*(1+D6))/(((('📦 PRODUCT INPUTS'!$J$12/'📦 PRODUCT INPUTS'!$G$12)*(1+B6))-((('📦 PRODUCT INPUTS'!$J$12/'📦 PRODUCT INPUTS'!$G$12)-'📊 BREAK-EVEN ANALYSIS'!$B$17)*(1+C6)))),0),0)</f>
        <v>4398</v>
      </c>
      <c r="G6" s="101">
        <f>F6-'📊 BREAK-EVEN ANALYSIS'!$B$19</f>
        <v>-980</v>
      </c>
      <c r="H6" s="31" t="str">
        <f t="shared" ref="H6:H17" si="0">IF(G6&gt;0,"Break-even gets harder — need "&amp;TEXT(G6,"#,##0")&amp;" more units","Break-even gets easier — need "&amp;TEXT(-G6,"#,##0")&amp;" fewer units")</f>
        <v>Break-even gets easier — need 980 fewer units</v>
      </c>
    </row>
    <row r="7" spans="1:8" ht="18.75" customHeight="1" x14ac:dyDescent="0.25">
      <c r="A7" s="30" t="str">
        <f>"Price -"&amp;TEXT('⚙ SETUP'!$B$15,"0%")</f>
        <v>Price -10%</v>
      </c>
      <c r="B7" s="97">
        <f>-'⚙ SETUP'!$B$15</f>
        <v>-0.1</v>
      </c>
      <c r="C7" s="97">
        <v>0</v>
      </c>
      <c r="D7" s="97">
        <v>0</v>
      </c>
      <c r="E7" s="60">
        <f>IFERROR(((('📦 PRODUCT INPUTS'!$J$12/'📦 PRODUCT INPUTS'!$G$12)*(1+B7))-((('📦 PRODUCT INPUTS'!$J$12/'📦 PRODUCT INPUTS'!$G$12)-'📊 BREAK-EVEN ANALYSIS'!$B$17)*(1+C7)))/(('📦 PRODUCT INPUTS'!$J$12/'📦 PRODUCT INPUTS'!$G$12)*(1+B7)),0)</f>
        <v>0.38778497456727784</v>
      </c>
      <c r="F7" s="75">
        <f>IFERROR(ROUNDUP(('📊 BREAK-EVEN ANALYSIS'!$B$16*(1+D7))/(((('📦 PRODUCT INPUTS'!$J$12/'📦 PRODUCT INPUTS'!$G$12)*(1+B7))-((('📦 PRODUCT INPUTS'!$J$12/'📦 PRODUCT INPUTS'!$G$12)-'📊 BREAK-EVEN ANALYSIS'!$B$17)*(1+C7)))),0),0)</f>
        <v>6919</v>
      </c>
      <c r="G7" s="101">
        <f>F7-'📊 BREAK-EVEN ANALYSIS'!$B$19</f>
        <v>1541</v>
      </c>
      <c r="H7" s="31" t="str">
        <f t="shared" si="0"/>
        <v>Break-even gets harder — need 1,541 more units</v>
      </c>
    </row>
    <row r="8" spans="1:8" ht="18.75" customHeight="1" x14ac:dyDescent="0.25">
      <c r="A8" s="30" t="str">
        <f>"Price +"&amp;TEXT('⚙ SETUP'!$B$16,"0%")</f>
        <v>Price +20%</v>
      </c>
      <c r="B8" s="97">
        <f>'⚙ SETUP'!$B$16</f>
        <v>0.2</v>
      </c>
      <c r="C8" s="97">
        <v>0</v>
      </c>
      <c r="D8" s="97">
        <v>0</v>
      </c>
      <c r="E8" s="60">
        <f>IFERROR(((('📦 PRODUCT INPUTS'!$J$12/'📦 PRODUCT INPUTS'!$G$12)*(1+B8))-((('📦 PRODUCT INPUTS'!$J$12/'📦 PRODUCT INPUTS'!$G$12)-'📊 BREAK-EVEN ANALYSIS'!$B$17)*(1+C8)))/(('📦 PRODUCT INPUTS'!$J$12/'📦 PRODUCT INPUTS'!$G$12)*(1+B8)),0)</f>
        <v>0.54083873092545831</v>
      </c>
      <c r="F8" s="75">
        <f>IFERROR(ROUNDUP(('📊 BREAK-EVEN ANALYSIS'!$B$16*(1+D8))/(((('📦 PRODUCT INPUTS'!$J$12/'📦 PRODUCT INPUTS'!$G$12)*(1+B8))-((('📦 PRODUCT INPUTS'!$J$12/'📦 PRODUCT INPUTS'!$G$12)-'📊 BREAK-EVEN ANALYSIS'!$B$17)*(1+C8)))),0),0)</f>
        <v>3721</v>
      </c>
      <c r="G8" s="101">
        <f>F8-'📊 BREAK-EVEN ANALYSIS'!$B$19</f>
        <v>-1657</v>
      </c>
      <c r="H8" s="31" t="str">
        <f t="shared" si="0"/>
        <v>Break-even gets easier — need 1,657 fewer units</v>
      </c>
    </row>
    <row r="9" spans="1:8" ht="18.75" customHeight="1" x14ac:dyDescent="0.25">
      <c r="A9" s="30" t="str">
        <f>"Price -"&amp;TEXT('⚙ SETUP'!$B$16,"0%")</f>
        <v>Price -20%</v>
      </c>
      <c r="B9" s="97">
        <f>-'⚙ SETUP'!$B$16</f>
        <v>-0.2</v>
      </c>
      <c r="C9" s="97">
        <v>0</v>
      </c>
      <c r="D9" s="97">
        <v>0</v>
      </c>
      <c r="E9" s="60">
        <f>IFERROR(((('📦 PRODUCT INPUTS'!$J$12/'📦 PRODUCT INPUTS'!$G$12)*(1+B9))-((('📦 PRODUCT INPUTS'!$J$12/'📦 PRODUCT INPUTS'!$G$12)-'📊 BREAK-EVEN ANALYSIS'!$B$17)*(1+C9)))/(('📦 PRODUCT INPUTS'!$J$12/'📦 PRODUCT INPUTS'!$G$12)*(1+B9)),0)</f>
        <v>0.31125809638818763</v>
      </c>
      <c r="F9" s="75">
        <f>IFERROR(ROUNDUP(('📊 BREAK-EVEN ANALYSIS'!$B$16*(1+D9))/(((('📦 PRODUCT INPUTS'!$J$12/'📦 PRODUCT INPUTS'!$G$12)*(1+B9))-((('📦 PRODUCT INPUTS'!$J$12/'📦 PRODUCT INPUTS'!$G$12)-'📊 BREAK-EVEN ANALYSIS'!$B$17)*(1+C9)))),0),0)</f>
        <v>9697</v>
      </c>
      <c r="G9" s="101">
        <f>F9-'📊 BREAK-EVEN ANALYSIS'!$B$19</f>
        <v>4319</v>
      </c>
      <c r="H9" s="31" t="str">
        <f t="shared" si="0"/>
        <v>Break-even gets harder — need 4,319 more units</v>
      </c>
    </row>
    <row r="10" spans="1:8" ht="18.75" customHeight="1" x14ac:dyDescent="0.25">
      <c r="A10" s="30" t="str">
        <f>"Variable Cost +"&amp;TEXT('⚙ SETUP'!$B$15,"0%")</f>
        <v>Variable Cost +10%</v>
      </c>
      <c r="B10" s="97">
        <v>0</v>
      </c>
      <c r="C10" s="97">
        <f>'⚙ SETUP'!$B$15</f>
        <v>0.1</v>
      </c>
      <c r="D10" s="97">
        <v>0</v>
      </c>
      <c r="E10" s="60">
        <f>IFERROR(((('📦 PRODUCT INPUTS'!$J$12/'📦 PRODUCT INPUTS'!$G$12)*(1+B10))-((('📦 PRODUCT INPUTS'!$J$12/'📦 PRODUCT INPUTS'!$G$12)-'📊 BREAK-EVEN ANALYSIS'!$B$17)*(1+C10)))/(('📦 PRODUCT INPUTS'!$J$12/'📦 PRODUCT INPUTS'!$G$12)*(1+B10)),0)</f>
        <v>0.39390712482160506</v>
      </c>
      <c r="F10" s="75">
        <f>IFERROR(ROUNDUP(('📊 BREAK-EVEN ANALYSIS'!$B$16*(1+D10))/(((('📦 PRODUCT INPUTS'!$J$12/'📦 PRODUCT INPUTS'!$G$12)*(1+B10))-((('📦 PRODUCT INPUTS'!$J$12/'📦 PRODUCT INPUTS'!$G$12)-'📊 BREAK-EVEN ANALYSIS'!$B$17)*(1+C10)))),0),0)</f>
        <v>6130</v>
      </c>
      <c r="G10" s="101">
        <f>F10-'📊 BREAK-EVEN ANALYSIS'!$B$19</f>
        <v>752</v>
      </c>
      <c r="H10" s="31" t="str">
        <f t="shared" si="0"/>
        <v>Break-even gets harder — need 752 more units</v>
      </c>
    </row>
    <row r="11" spans="1:8" ht="18.75" customHeight="1" x14ac:dyDescent="0.25">
      <c r="A11" s="30" t="str">
        <f>"Variable Cost -"&amp;TEXT('⚙ SETUP'!$B$15,"0%")</f>
        <v>Variable Cost -10%</v>
      </c>
      <c r="B11" s="97">
        <v>0</v>
      </c>
      <c r="C11" s="97">
        <f>-'⚙ SETUP'!$B$15</f>
        <v>-0.1</v>
      </c>
      <c r="D11" s="97">
        <v>0</v>
      </c>
      <c r="E11" s="60">
        <f>IFERROR(((('📦 PRODUCT INPUTS'!$J$12/'📦 PRODUCT INPUTS'!$G$12)*(1+B11))-((('📦 PRODUCT INPUTS'!$J$12/'📦 PRODUCT INPUTS'!$G$12)-'📊 BREAK-EVEN ANALYSIS'!$B$17)*(1+C11)))/(('📦 PRODUCT INPUTS'!$J$12/'📦 PRODUCT INPUTS'!$G$12)*(1+B11)),0)</f>
        <v>0.504105829399495</v>
      </c>
      <c r="F11" s="75">
        <f>IFERROR(ROUNDUP(('📊 BREAK-EVEN ANALYSIS'!$B$16*(1+D11))/(((('📦 PRODUCT INPUTS'!$J$12/'📦 PRODUCT INPUTS'!$G$12)*(1+B11))-((('📦 PRODUCT INPUTS'!$J$12/'📦 PRODUCT INPUTS'!$G$12)-'📊 BREAK-EVEN ANALYSIS'!$B$17)*(1+C11)))),0),0)</f>
        <v>4790</v>
      </c>
      <c r="G11" s="101">
        <f>F11-'📊 BREAK-EVEN ANALYSIS'!$B$19</f>
        <v>-588</v>
      </c>
      <c r="H11" s="31" t="str">
        <f t="shared" si="0"/>
        <v>Break-even gets easier — need 588 fewer units</v>
      </c>
    </row>
    <row r="12" spans="1:8" ht="18.75" customHeight="1" x14ac:dyDescent="0.25">
      <c r="A12" s="30" t="str">
        <f>"Variable Cost +"&amp;TEXT('⚙ SETUP'!$B$16,"0%")</f>
        <v>Variable Cost +20%</v>
      </c>
      <c r="B12" s="97">
        <v>0</v>
      </c>
      <c r="C12" s="97">
        <f>'⚙ SETUP'!$B$16</f>
        <v>0.2</v>
      </c>
      <c r="D12" s="97">
        <v>0</v>
      </c>
      <c r="E12" s="60">
        <f>IFERROR(((('📦 PRODUCT INPUTS'!$J$12/'📦 PRODUCT INPUTS'!$G$12)*(1+B12))-((('📦 PRODUCT INPUTS'!$J$12/'📦 PRODUCT INPUTS'!$G$12)-'📊 BREAK-EVEN ANALYSIS'!$B$17)*(1+C12)))/(('📦 PRODUCT INPUTS'!$J$12/'📦 PRODUCT INPUTS'!$G$12)*(1+B12)),0)</f>
        <v>0.33880777253266015</v>
      </c>
      <c r="F12" s="75">
        <f>IFERROR(ROUNDUP(('📊 BREAK-EVEN ANALYSIS'!$B$16*(1+D12))/(((('📦 PRODUCT INPUTS'!$J$12/'📦 PRODUCT INPUTS'!$G$12)*(1+B12))-((('📦 PRODUCT INPUTS'!$J$12/'📦 PRODUCT INPUTS'!$G$12)-'📊 BREAK-EVEN ANALYSIS'!$B$17)*(1+C12)))),0),0)</f>
        <v>7127</v>
      </c>
      <c r="G12" s="101">
        <f>F12-'📊 BREAK-EVEN ANALYSIS'!$B$19</f>
        <v>1749</v>
      </c>
      <c r="H12" s="31" t="str">
        <f t="shared" si="0"/>
        <v>Break-even gets harder — need 1,749 more units</v>
      </c>
    </row>
    <row r="13" spans="1:8" ht="18.75" customHeight="1" x14ac:dyDescent="0.25">
      <c r="A13" s="30" t="str">
        <f>"Variable Cost -"&amp;TEXT('⚙ SETUP'!$B$16,"0%")</f>
        <v>Variable Cost -20%</v>
      </c>
      <c r="B13" s="97">
        <v>0</v>
      </c>
      <c r="C13" s="97">
        <f>-'⚙ SETUP'!$B$16</f>
        <v>-0.2</v>
      </c>
      <c r="D13" s="97">
        <v>0</v>
      </c>
      <c r="E13" s="60">
        <f>IFERROR(((('📦 PRODUCT INPUTS'!$J$12/'📦 PRODUCT INPUTS'!$G$12)*(1+B13))-((('📦 PRODUCT INPUTS'!$J$12/'📦 PRODUCT INPUTS'!$G$12)-'📊 BREAK-EVEN ANALYSIS'!$B$17)*(1+C13)))/(('📦 PRODUCT INPUTS'!$J$12/'📦 PRODUCT INPUTS'!$G$12)*(1+B13)),0)</f>
        <v>0.55920518168844002</v>
      </c>
      <c r="F13" s="75">
        <f>IFERROR(ROUNDUP(('📊 BREAK-EVEN ANALYSIS'!$B$16*(1+D13))/(((('📦 PRODUCT INPUTS'!$J$12/'📦 PRODUCT INPUTS'!$G$12)*(1+B13))-((('📦 PRODUCT INPUTS'!$J$12/'📦 PRODUCT INPUTS'!$G$12)-'📊 BREAK-EVEN ANALYSIS'!$B$17)*(1+C13)))),0),0)</f>
        <v>4318</v>
      </c>
      <c r="G13" s="101">
        <f>F13-'📊 BREAK-EVEN ANALYSIS'!$B$19</f>
        <v>-1060</v>
      </c>
      <c r="H13" s="31" t="str">
        <f t="shared" si="0"/>
        <v>Break-even gets easier — need 1,060 fewer units</v>
      </c>
    </row>
    <row r="14" spans="1:8" ht="18.75" customHeight="1" x14ac:dyDescent="0.25">
      <c r="A14" s="30" t="str">
        <f>"Fixed Cost +"&amp;TEXT('⚙ SETUP'!$B$15,"0%")</f>
        <v>Fixed Cost +10%</v>
      </c>
      <c r="B14" s="97">
        <v>0</v>
      </c>
      <c r="C14" s="97">
        <v>0</v>
      </c>
      <c r="D14" s="97">
        <f>'⚙ SETUP'!$B$15</f>
        <v>0.1</v>
      </c>
      <c r="E14" s="60">
        <f>IFERROR(((('📦 PRODUCT INPUTS'!$J$12/'📦 PRODUCT INPUTS'!$G$12)*(1+B14))-((('📦 PRODUCT INPUTS'!$J$12/'📦 PRODUCT INPUTS'!$G$12)-'📊 BREAK-EVEN ANALYSIS'!$B$17)*(1+C14)))/(('📦 PRODUCT INPUTS'!$J$12/'📦 PRODUCT INPUTS'!$G$12)*(1+B14)),0)</f>
        <v>0.44900647711055008</v>
      </c>
      <c r="F14" s="75">
        <f>IFERROR(ROUNDUP(('📊 BREAK-EVEN ANALYSIS'!$B$16*(1+D14))/(((('📦 PRODUCT INPUTS'!$J$12/'📦 PRODUCT INPUTS'!$G$12)*(1+B14))-((('📦 PRODUCT INPUTS'!$J$12/'📦 PRODUCT INPUTS'!$G$12)-'📊 BREAK-EVEN ANALYSIS'!$B$17)*(1+C14)))),0),0)</f>
        <v>5916</v>
      </c>
      <c r="G14" s="101">
        <f>F14-'📊 BREAK-EVEN ANALYSIS'!$B$19</f>
        <v>538</v>
      </c>
      <c r="H14" s="31" t="str">
        <f t="shared" si="0"/>
        <v>Break-even gets harder — need 538 more units</v>
      </c>
    </row>
    <row r="15" spans="1:8" ht="18.75" customHeight="1" x14ac:dyDescent="0.25">
      <c r="A15" s="30" t="str">
        <f>"Fixed Cost -"&amp;TEXT('⚙ SETUP'!$B$15,"0%")</f>
        <v>Fixed Cost -10%</v>
      </c>
      <c r="B15" s="97">
        <v>0</v>
      </c>
      <c r="C15" s="97">
        <v>0</v>
      </c>
      <c r="D15" s="97">
        <f>-'⚙ SETUP'!$B$15</f>
        <v>-0.1</v>
      </c>
      <c r="E15" s="60">
        <f>IFERROR(((('📦 PRODUCT INPUTS'!$J$12/'📦 PRODUCT INPUTS'!$G$12)*(1+B15))-((('📦 PRODUCT INPUTS'!$J$12/'📦 PRODUCT INPUTS'!$G$12)-'📊 BREAK-EVEN ANALYSIS'!$B$17)*(1+C15)))/(('📦 PRODUCT INPUTS'!$J$12/'📦 PRODUCT INPUTS'!$G$12)*(1+B15)),0)</f>
        <v>0.44900647711055008</v>
      </c>
      <c r="F15" s="75">
        <f>IFERROR(ROUNDUP(('📊 BREAK-EVEN ANALYSIS'!$B$16*(1+D15))/(((('📦 PRODUCT INPUTS'!$J$12/'📦 PRODUCT INPUTS'!$G$12)*(1+B15))-((('📦 PRODUCT INPUTS'!$J$12/'📦 PRODUCT INPUTS'!$G$12)-'📊 BREAK-EVEN ANALYSIS'!$B$17)*(1+C15)))),0),0)</f>
        <v>4840</v>
      </c>
      <c r="G15" s="101">
        <f>F15-'📊 BREAK-EVEN ANALYSIS'!$B$19</f>
        <v>-538</v>
      </c>
      <c r="H15" s="31" t="str">
        <f t="shared" si="0"/>
        <v>Break-even gets easier — need 538 fewer units</v>
      </c>
    </row>
    <row r="16" spans="1:8" ht="18.75" customHeight="1" x14ac:dyDescent="0.25">
      <c r="A16" s="30" t="str">
        <f>"Fixed Cost +"&amp;TEXT('⚙ SETUP'!$B$16,"0%")</f>
        <v>Fixed Cost +20%</v>
      </c>
      <c r="B16" s="97">
        <v>0</v>
      </c>
      <c r="C16" s="97">
        <v>0</v>
      </c>
      <c r="D16" s="97">
        <f>'⚙ SETUP'!$B$16</f>
        <v>0.2</v>
      </c>
      <c r="E16" s="60">
        <f>IFERROR(((('📦 PRODUCT INPUTS'!$J$12/'📦 PRODUCT INPUTS'!$G$12)*(1+B16))-((('📦 PRODUCT INPUTS'!$J$12/'📦 PRODUCT INPUTS'!$G$12)-'📊 BREAK-EVEN ANALYSIS'!$B$17)*(1+C16)))/(('📦 PRODUCT INPUTS'!$J$12/'📦 PRODUCT INPUTS'!$G$12)*(1+B16)),0)</f>
        <v>0.44900647711055008</v>
      </c>
      <c r="F16" s="75">
        <f>IFERROR(ROUNDUP(('📊 BREAK-EVEN ANALYSIS'!$B$16*(1+D16))/(((('📦 PRODUCT INPUTS'!$J$12/'📦 PRODUCT INPUTS'!$G$12)*(1+B16))-((('📦 PRODUCT INPUTS'!$J$12/'📦 PRODUCT INPUTS'!$G$12)-'📊 BREAK-EVEN ANALYSIS'!$B$17)*(1+C16)))),0),0)</f>
        <v>6453</v>
      </c>
      <c r="G16" s="101">
        <f>F16-'📊 BREAK-EVEN ANALYSIS'!$B$19</f>
        <v>1075</v>
      </c>
      <c r="H16" s="31" t="str">
        <f t="shared" si="0"/>
        <v>Break-even gets harder — need 1,075 more units</v>
      </c>
    </row>
    <row r="17" spans="1:8" ht="18.75" customHeight="1" x14ac:dyDescent="0.25">
      <c r="A17" s="30" t="str">
        <f>"Fixed Cost -"&amp;TEXT('⚙ SETUP'!$B$16,"0%")</f>
        <v>Fixed Cost -20%</v>
      </c>
      <c r="B17" s="97">
        <v>0</v>
      </c>
      <c r="C17" s="97">
        <v>0</v>
      </c>
      <c r="D17" s="97">
        <f>-'⚙ SETUP'!$B$16</f>
        <v>-0.2</v>
      </c>
      <c r="E17" s="60">
        <f>IFERROR(((('📦 PRODUCT INPUTS'!$J$12/'📦 PRODUCT INPUTS'!$G$12)*(1+B17))-((('📦 PRODUCT INPUTS'!$J$12/'📦 PRODUCT INPUTS'!$G$12)-'📊 BREAK-EVEN ANALYSIS'!$B$17)*(1+C17)))/(('📦 PRODUCT INPUTS'!$J$12/'📦 PRODUCT INPUTS'!$G$12)*(1+B17)),0)</f>
        <v>0.44900647711055008</v>
      </c>
      <c r="F17" s="75">
        <f>IFERROR(ROUNDUP(('📊 BREAK-EVEN ANALYSIS'!$B$16*(1+D17))/(((('📦 PRODUCT INPUTS'!$J$12/'📦 PRODUCT INPUTS'!$G$12)*(1+B17))-((('📦 PRODUCT INPUTS'!$J$12/'📦 PRODUCT INPUTS'!$G$12)-'📊 BREAK-EVEN ANALYSIS'!$B$17)*(1+C17)))),0),0)</f>
        <v>4302</v>
      </c>
      <c r="G17" s="101">
        <f>F17-'📊 BREAK-EVEN ANALYSIS'!$B$19</f>
        <v>-1076</v>
      </c>
      <c r="H17" s="31" t="str">
        <f t="shared" si="0"/>
        <v>Break-even gets easier — need 1,076 fewer units</v>
      </c>
    </row>
    <row r="19" spans="1:8" ht="21.75" customHeight="1" x14ac:dyDescent="0.25">
      <c r="A19" s="102" t="s">
        <v>173</v>
      </c>
      <c r="B19" s="102"/>
      <c r="C19" s="102"/>
      <c r="D19" s="102"/>
      <c r="E19" s="102"/>
      <c r="F19" s="102"/>
      <c r="G19" s="102"/>
      <c r="H19" s="102"/>
    </row>
    <row r="20" spans="1:8" ht="27" customHeight="1" x14ac:dyDescent="0.25">
      <c r="A20" s="30" t="s">
        <v>174</v>
      </c>
      <c r="B20" s="103">
        <f>ABS(G9-G8)</f>
        <v>5976</v>
      </c>
      <c r="C20" s="103"/>
      <c r="D20" s="81"/>
      <c r="E20" s="81"/>
      <c r="F20" s="81"/>
      <c r="G20" s="81"/>
      <c r="H20" s="81"/>
    </row>
    <row r="21" spans="1:8" ht="27.75" customHeight="1" x14ac:dyDescent="0.25">
      <c r="A21" s="30" t="s">
        <v>175</v>
      </c>
      <c r="B21" s="103">
        <f>ABS(G13-G12)</f>
        <v>2809</v>
      </c>
      <c r="C21" s="103"/>
      <c r="D21" s="81"/>
      <c r="E21" s="81"/>
      <c r="F21" s="81"/>
      <c r="G21" s="81"/>
      <c r="H21" s="81"/>
    </row>
    <row r="22" spans="1:8" ht="34.5" customHeight="1" x14ac:dyDescent="0.25">
      <c r="A22" s="30" t="s">
        <v>176</v>
      </c>
      <c r="B22" s="103">
        <f>ABS(G17-G16)</f>
        <v>2151</v>
      </c>
      <c r="C22" s="103"/>
      <c r="D22" s="81"/>
      <c r="E22" s="81"/>
      <c r="F22" s="81"/>
      <c r="G22" s="81"/>
      <c r="H22" s="81"/>
    </row>
    <row r="24" spans="1:8" ht="42.75" customHeight="1" x14ac:dyDescent="0.25">
      <c r="A24" s="35" t="s">
        <v>177</v>
      </c>
      <c r="B24" s="35"/>
      <c r="C24" s="35"/>
      <c r="D24" s="35"/>
      <c r="E24" s="35"/>
      <c r="F24" s="35"/>
      <c r="G24" s="35"/>
      <c r="H24" s="35"/>
    </row>
  </sheetData>
  <sheetProtection algorithmName="SHA-512" hashValue="grcqZwx/cYVIWW7RAfM2fbx67A0TlxOF6GV61ovZmbhA6zmSl2Ht+GTq6tLVAyVTye/wpTuiyhshP6kBQ14txw==" saltValue="hZlKL5nB7ELWT4Ao8oqSWQ==" spinCount="100000" sheet="1" objects="1" scenarios="1"/>
  <mergeCells count="8">
    <mergeCell ref="B21:C21"/>
    <mergeCell ref="B22:C22"/>
    <mergeCell ref="A24:H24"/>
    <mergeCell ref="A1:H1"/>
    <mergeCell ref="A2:H2"/>
    <mergeCell ref="A3:H3"/>
    <mergeCell ref="A19:H19"/>
    <mergeCell ref="B20:C20"/>
  </mergeCells>
  <pageMargins left="0.75" right="0.75" top="1" bottom="1" header="0.511811023622047" footer="0.511811023622047"/>
  <pageSetup paperSize="9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6C3483"/>
  </sheetPr>
  <dimension ref="A1:N46"/>
  <sheetViews>
    <sheetView topLeftCell="B1" zoomScaleNormal="100" workbookViewId="0">
      <pane ySplit="2" topLeftCell="A38" activePane="bottomLeft" state="frozen"/>
      <selection pane="bottomLeft" sqref="A1:N65"/>
    </sheetView>
  </sheetViews>
  <sheetFormatPr defaultColWidth="21.5703125" defaultRowHeight="15" x14ac:dyDescent="0.25"/>
  <cols>
    <col min="1" max="1" width="35.42578125" style="1" customWidth="1"/>
    <col min="2" max="3" width="21.5703125" style="1"/>
    <col min="4" max="4" width="10.140625" style="1" customWidth="1"/>
    <col min="5" max="5" width="4.42578125" style="1" customWidth="1"/>
    <col min="6" max="6" width="3" style="1" customWidth="1"/>
    <col min="7" max="7" width="21.5703125" style="1" hidden="1" customWidth="1"/>
    <col min="8" max="16384" width="21.5703125" style="1"/>
  </cols>
  <sheetData>
    <row r="1" spans="1:14" ht="30" customHeight="1" x14ac:dyDescent="0.25">
      <c r="A1" s="26" t="s">
        <v>178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3" spans="1:14" ht="21.75" customHeight="1" x14ac:dyDescent="0.25">
      <c r="A3" s="33" t="s">
        <v>179</v>
      </c>
      <c r="B3" s="33"/>
      <c r="C3" s="33"/>
      <c r="D3" s="33"/>
      <c r="E3" s="33"/>
      <c r="F3" s="33"/>
      <c r="G3" s="33"/>
    </row>
    <row r="4" spans="1:14" ht="19.5" customHeight="1" x14ac:dyDescent="0.25">
      <c r="A4" s="30" t="s">
        <v>180</v>
      </c>
      <c r="B4" s="104">
        <f>'📊 BREAK-EVEN ANALYSIS'!$B$19</f>
        <v>5378</v>
      </c>
      <c r="C4" s="104"/>
    </row>
    <row r="6" spans="1:14" ht="19.5" customHeight="1" x14ac:dyDescent="0.25">
      <c r="A6" s="30" t="s">
        <v>181</v>
      </c>
      <c r="B6" s="104">
        <f>'📊 BREAK-EVEN ANALYSIS'!$B$20</f>
        <v>2505531.784841076</v>
      </c>
      <c r="C6" s="104"/>
    </row>
    <row r="8" spans="1:14" ht="19.5" customHeight="1" x14ac:dyDescent="0.25">
      <c r="A8" s="30" t="s">
        <v>129</v>
      </c>
      <c r="B8" s="105">
        <f>'📊 BREAK-EVEN ANALYSIS'!$B$24</f>
        <v>0.86245524296675191</v>
      </c>
      <c r="C8" s="105"/>
    </row>
    <row r="10" spans="1:14" ht="19.5" customHeight="1" x14ac:dyDescent="0.25">
      <c r="A10" s="30" t="s">
        <v>182</v>
      </c>
      <c r="B10" s="106">
        <f>'⚡ OPERATING LEVERAGE'!$B$6</f>
        <v>1.1594613749114104</v>
      </c>
      <c r="C10" s="106"/>
    </row>
    <row r="12" spans="1:14" ht="19.5" customHeight="1" x14ac:dyDescent="0.25">
      <c r="A12" s="30" t="s">
        <v>183</v>
      </c>
      <c r="B12" s="107">
        <f>'⚡ OPERATING LEVERAGE'!$B$19</f>
        <v>4</v>
      </c>
      <c r="C12" s="107"/>
    </row>
    <row r="14" spans="1:14" ht="19.5" customHeight="1" x14ac:dyDescent="0.25">
      <c r="A14" s="30" t="s">
        <v>184</v>
      </c>
      <c r="B14" s="108">
        <f>'📊 BREAK-EVEN ANALYSIS'!$B$31</f>
        <v>6655</v>
      </c>
      <c r="C14" s="108"/>
    </row>
    <row r="17" spans="1:7" ht="21.75" customHeight="1" x14ac:dyDescent="0.25">
      <c r="A17" s="32" t="s">
        <v>185</v>
      </c>
      <c r="B17" s="32"/>
      <c r="C17" s="32"/>
      <c r="D17" s="32"/>
      <c r="E17" s="32"/>
      <c r="F17" s="32"/>
      <c r="G17" s="32"/>
    </row>
    <row r="18" spans="1:7" ht="21.75" customHeight="1" x14ac:dyDescent="0.25">
      <c r="A18" s="29" t="s">
        <v>186</v>
      </c>
      <c r="B18" s="29" t="s">
        <v>187</v>
      </c>
      <c r="C18" s="29" t="s">
        <v>188</v>
      </c>
    </row>
    <row r="19" spans="1:7" ht="15" customHeight="1" x14ac:dyDescent="0.25">
      <c r="A19" s="59">
        <f>ROUND('📊 BREAK-EVEN ANALYSIS'!$B$19*0,0)</f>
        <v>0</v>
      </c>
      <c r="B19" s="59">
        <f>A19*('📦 PRODUCT INPUTS'!$J$12/'📦 PRODUCT INPUTS'!$G$12)</f>
        <v>0</v>
      </c>
      <c r="C19" s="59">
        <f>'📊 BREAK-EVEN ANALYSIS'!$B$16+A19*(('📦 PRODUCT INPUTS'!$J$12/'📦 PRODUCT INPUTS'!$G$12)-'📊 BREAK-EVEN ANALYSIS'!$B$17)</f>
        <v>1125000</v>
      </c>
    </row>
    <row r="20" spans="1:7" ht="15" customHeight="1" x14ac:dyDescent="0.25">
      <c r="A20" s="59">
        <f>ROUND('📊 BREAK-EVEN ANALYSIS'!$B$19*0.15,0)</f>
        <v>807</v>
      </c>
      <c r="B20" s="59">
        <f>A20*('📦 PRODUCT INPUTS'!$J$12/'📦 PRODUCT INPUTS'!$G$12)</f>
        <v>376008.33759590791</v>
      </c>
      <c r="C20" s="59">
        <f>'📊 BREAK-EVEN ANALYSIS'!$B$16+A20*(('📦 PRODUCT INPUTS'!$J$12/'📦 PRODUCT INPUTS'!$G$12)-'📊 BREAK-EVEN ANALYSIS'!$B$17)</f>
        <v>1332178.158567775</v>
      </c>
    </row>
    <row r="21" spans="1:7" ht="15" customHeight="1" x14ac:dyDescent="0.25">
      <c r="A21" s="59">
        <f>ROUND('📊 BREAK-EVEN ANALYSIS'!$B$19*0.3,0)</f>
        <v>1613</v>
      </c>
      <c r="B21" s="59">
        <f>A21*('📦 PRODUCT INPUTS'!$J$12/'📦 PRODUCT INPUTS'!$G$12)</f>
        <v>751550.74168797955</v>
      </c>
      <c r="C21" s="59">
        <f>'📊 BREAK-EVEN ANALYSIS'!$B$16+A21*(('📦 PRODUCT INPUTS'!$J$12/'📦 PRODUCT INPUTS'!$G$12)-'📊 BREAK-EVEN ANALYSIS'!$B$17)</f>
        <v>1539099.5907928389</v>
      </c>
    </row>
    <row r="22" spans="1:7" ht="15" customHeight="1" x14ac:dyDescent="0.25">
      <c r="A22" s="59">
        <f>ROUND('📊 BREAK-EVEN ANALYSIS'!$B$19*0.45,0)</f>
        <v>2420</v>
      </c>
      <c r="B22" s="59">
        <f>A22*('📦 PRODUCT INPUTS'!$J$12/'📦 PRODUCT INPUTS'!$G$12)</f>
        <v>1127559.0792838875</v>
      </c>
      <c r="C22" s="59">
        <f>'📊 BREAK-EVEN ANALYSIS'!$B$16+A22*(('📦 PRODUCT INPUTS'!$J$12/'📦 PRODUCT INPUTS'!$G$12)-'📊 BREAK-EVEN ANALYSIS'!$B$17)</f>
        <v>1746277.7493606138</v>
      </c>
    </row>
    <row r="23" spans="1:7" ht="15" customHeight="1" x14ac:dyDescent="0.25">
      <c r="A23" s="59">
        <f>ROUND('📊 BREAK-EVEN ANALYSIS'!$B$19*0.6,0)</f>
        <v>3227</v>
      </c>
      <c r="B23" s="59">
        <f>A23*('📦 PRODUCT INPUTS'!$J$12/'📦 PRODUCT INPUTS'!$G$12)</f>
        <v>1503567.4168797955</v>
      </c>
      <c r="C23" s="59">
        <f>'📊 BREAK-EVEN ANALYSIS'!$B$16+A23*(('📦 PRODUCT INPUTS'!$J$12/'📦 PRODUCT INPUTS'!$G$12)-'📊 BREAK-EVEN ANALYSIS'!$B$17)</f>
        <v>1953455.9079283886</v>
      </c>
    </row>
    <row r="24" spans="1:7" ht="15" customHeight="1" x14ac:dyDescent="0.25">
      <c r="A24" s="59">
        <f>ROUND('📊 BREAK-EVEN ANALYSIS'!$B$19*0.75,0)</f>
        <v>4034</v>
      </c>
      <c r="B24" s="59">
        <f>A24*('📦 PRODUCT INPUTS'!$J$12/'📦 PRODUCT INPUTS'!$G$12)</f>
        <v>1879575.7544757032</v>
      </c>
      <c r="C24" s="59">
        <f>'📊 BREAK-EVEN ANALYSIS'!$B$16+A24*(('📦 PRODUCT INPUTS'!$J$12/'📦 PRODUCT INPUTS'!$G$12)-'📊 BREAK-EVEN ANALYSIS'!$B$17)</f>
        <v>2160634.0664961636</v>
      </c>
    </row>
    <row r="25" spans="1:7" ht="15" customHeight="1" x14ac:dyDescent="0.25">
      <c r="A25" s="59">
        <f>ROUND('📊 BREAK-EVEN ANALYSIS'!$B$19*0.9,0)</f>
        <v>4840</v>
      </c>
      <c r="B25" s="59">
        <f>A25*('📦 PRODUCT INPUTS'!$J$12/'📦 PRODUCT INPUTS'!$G$12)</f>
        <v>2255118.158567775</v>
      </c>
      <c r="C25" s="59">
        <f>'📊 BREAK-EVEN ANALYSIS'!$B$16+A25*(('📦 PRODUCT INPUTS'!$J$12/'📦 PRODUCT INPUTS'!$G$12)-'📊 BREAK-EVEN ANALYSIS'!$B$17)</f>
        <v>2367555.4987212275</v>
      </c>
    </row>
    <row r="26" spans="1:7" ht="15" customHeight="1" x14ac:dyDescent="0.25">
      <c r="A26" s="59">
        <f>ROUND('📊 BREAK-EVEN ANALYSIS'!$B$19*1.05,0)</f>
        <v>5647</v>
      </c>
      <c r="B26" s="59">
        <f>A26*('📦 PRODUCT INPUTS'!$J$12/'📦 PRODUCT INPUTS'!$G$12)</f>
        <v>2631126.496163683</v>
      </c>
      <c r="C26" s="59">
        <f>'📊 BREAK-EVEN ANALYSIS'!$B$16+A26*(('📦 PRODUCT INPUTS'!$J$12/'📦 PRODUCT INPUTS'!$G$12)-'📊 BREAK-EVEN ANALYSIS'!$B$17)</f>
        <v>2574733.6572890021</v>
      </c>
    </row>
    <row r="27" spans="1:7" ht="15" customHeight="1" x14ac:dyDescent="0.25">
      <c r="A27" s="59">
        <f>ROUND('📊 BREAK-EVEN ANALYSIS'!$B$19*1.2,0)</f>
        <v>6454</v>
      </c>
      <c r="B27" s="59">
        <f>A27*('📦 PRODUCT INPUTS'!$J$12/'📦 PRODUCT INPUTS'!$G$12)</f>
        <v>3007134.833759591</v>
      </c>
      <c r="C27" s="59">
        <f>'📊 BREAK-EVEN ANALYSIS'!$B$16+A27*(('📦 PRODUCT INPUTS'!$J$12/'📦 PRODUCT INPUTS'!$G$12)-'📊 BREAK-EVEN ANALYSIS'!$B$17)</f>
        <v>2781911.8158567771</v>
      </c>
    </row>
    <row r="28" spans="1:7" ht="15" customHeight="1" x14ac:dyDescent="0.25">
      <c r="A28" s="59">
        <f>ROUND('📊 BREAK-EVEN ANALYSIS'!$B$19*1.35,0)</f>
        <v>7260</v>
      </c>
      <c r="B28" s="59">
        <f>A28*('📦 PRODUCT INPUTS'!$J$12/'📦 PRODUCT INPUTS'!$G$12)</f>
        <v>3382677.2378516626</v>
      </c>
      <c r="C28" s="59">
        <f>'📊 BREAK-EVEN ANALYSIS'!$B$16+A28*(('📦 PRODUCT INPUTS'!$J$12/'📦 PRODUCT INPUTS'!$G$12)-'📊 BREAK-EVEN ANALYSIS'!$B$17)</f>
        <v>2988833.2480818415</v>
      </c>
    </row>
    <row r="29" spans="1:7" ht="15" customHeight="1" x14ac:dyDescent="0.25">
      <c r="A29" s="59">
        <f>ROUND('📊 BREAK-EVEN ANALYSIS'!$B$19*1.5,0)</f>
        <v>8067</v>
      </c>
      <c r="B29" s="59">
        <f>A29*('📦 PRODUCT INPUTS'!$J$12/'📦 PRODUCT INPUTS'!$G$12)</f>
        <v>3758685.5754475701</v>
      </c>
      <c r="C29" s="59">
        <f>'📊 BREAK-EVEN ANALYSIS'!$B$16+A29*(('📦 PRODUCT INPUTS'!$J$12/'📦 PRODUCT INPUTS'!$G$12)-'📊 BREAK-EVEN ANALYSIS'!$B$17)</f>
        <v>3196011.4066496161</v>
      </c>
    </row>
    <row r="31" spans="1:7" ht="21.75" customHeight="1" x14ac:dyDescent="0.25">
      <c r="A31" s="28" t="s">
        <v>189</v>
      </c>
      <c r="B31" s="28"/>
      <c r="C31" s="28"/>
      <c r="D31" s="28"/>
      <c r="E31" s="28"/>
      <c r="F31" s="28"/>
      <c r="G31" s="28"/>
    </row>
    <row r="32" spans="1:7" ht="15" customHeight="1" x14ac:dyDescent="0.25">
      <c r="A32" s="29" t="s">
        <v>113</v>
      </c>
      <c r="B32" s="29" t="s">
        <v>190</v>
      </c>
    </row>
    <row r="33" spans="1:7" ht="15" customHeight="1" x14ac:dyDescent="0.25">
      <c r="A33" s="30" t="str">
        <f>'📦 PRODUCT INPUTS'!B4</f>
        <v>Premium Widget A</v>
      </c>
      <c r="B33" s="109">
        <f>'📦 PRODUCT INPUTS'!F4</f>
        <v>0.43529411764705883</v>
      </c>
    </row>
    <row r="34" spans="1:7" ht="15" customHeight="1" x14ac:dyDescent="0.25">
      <c r="A34" s="30" t="str">
        <f>'📦 PRODUCT INPUTS'!B5</f>
        <v>Standard Widget B</v>
      </c>
      <c r="B34" s="109">
        <f>'📦 PRODUCT INPUTS'!F5</f>
        <v>0.40384615384615385</v>
      </c>
    </row>
    <row r="35" spans="1:7" ht="15" customHeight="1" x14ac:dyDescent="0.25">
      <c r="A35" s="30" t="str">
        <f>'📦 PRODUCT INPUTS'!B6</f>
        <v>Economy Widget C</v>
      </c>
      <c r="B35" s="109">
        <f>'📦 PRODUCT INPUTS'!F6</f>
        <v>0.375</v>
      </c>
    </row>
    <row r="36" spans="1:7" ht="15" customHeight="1" x14ac:dyDescent="0.25">
      <c r="A36" s="30" t="str">
        <f>'📦 PRODUCT INPUTS'!B7</f>
        <v>Deluxe Bundle Kit</v>
      </c>
      <c r="B36" s="109">
        <f>'📦 PRODUCT INPUTS'!F7</f>
        <v>0.46206896551724136</v>
      </c>
    </row>
    <row r="37" spans="1:7" ht="15" customHeight="1" x14ac:dyDescent="0.25">
      <c r="A37" s="30" t="str">
        <f>'📦 PRODUCT INPUTS'!B8</f>
        <v>Accessory Pack</v>
      </c>
      <c r="B37" s="109">
        <f>'📦 PRODUCT INPUTS'!F8</f>
        <v>0.5</v>
      </c>
    </row>
    <row r="38" spans="1:7" ht="15" customHeight="1" x14ac:dyDescent="0.25">
      <c r="A38" s="30" t="str">
        <f>'📦 PRODUCT INPUTS'!B9</f>
        <v>Service Add-on</v>
      </c>
      <c r="B38" s="109">
        <f>'📦 PRODUCT INPUTS'!F9</f>
        <v>0.81538461538461537</v>
      </c>
    </row>
    <row r="39" spans="1:7" ht="15" customHeight="1" x14ac:dyDescent="0.25">
      <c r="A39" s="30" t="str">
        <f>'📦 PRODUCT INPUTS'!B10</f>
        <v>Corporate Gift Set</v>
      </c>
      <c r="B39" s="109">
        <f>'📦 PRODUCT INPUTS'!F10</f>
        <v>0.46938775510204084</v>
      </c>
    </row>
    <row r="40" spans="1:7" ht="21.75" customHeight="1" x14ac:dyDescent="0.25">
      <c r="A40" s="30" t="str">
        <f>'📦 PRODUCT INPUTS'!B11</f>
        <v>Bulk Wholesale Pack</v>
      </c>
      <c r="B40" s="109">
        <f>'📦 PRODUCT INPUTS'!F11</f>
        <v>0.27941176470588236</v>
      </c>
    </row>
    <row r="41" spans="1:7" ht="15" customHeight="1" x14ac:dyDescent="0.25">
      <c r="A41" s="29"/>
      <c r="B41" s="29"/>
    </row>
    <row r="42" spans="1:7" ht="21.75" customHeight="1" x14ac:dyDescent="0.25">
      <c r="A42" s="87" t="s">
        <v>191</v>
      </c>
      <c r="B42" s="87"/>
      <c r="C42" s="87"/>
      <c r="D42" s="87"/>
      <c r="E42" s="87"/>
      <c r="F42" s="87"/>
      <c r="G42" s="87"/>
    </row>
    <row r="43" spans="1:7" ht="15" customHeight="1" x14ac:dyDescent="0.25">
      <c r="A43" s="29" t="s">
        <v>192</v>
      </c>
      <c r="B43" s="110" t="s">
        <v>193</v>
      </c>
    </row>
    <row r="44" spans="1:7" ht="15" customHeight="1" x14ac:dyDescent="0.25">
      <c r="A44" s="30" t="str">
        <f>"Price ±"&amp;TEXT('⚙ SETUP'!$B$16,"0%")</f>
        <v>Price ±20%</v>
      </c>
      <c r="B44" s="111">
        <f>'🔬 SENSITIVITY'!$B$20</f>
        <v>5976</v>
      </c>
    </row>
    <row r="45" spans="1:7" ht="15" customHeight="1" x14ac:dyDescent="0.25">
      <c r="A45" s="30" t="str">
        <f>"Variable Cost ±"&amp;TEXT('⚙ SETUP'!$B$16,"0%")</f>
        <v>Variable Cost ±20%</v>
      </c>
      <c r="B45" s="111">
        <f>'🔬 SENSITIVITY'!$B$21</f>
        <v>2809</v>
      </c>
    </row>
    <row r="46" spans="1:7" ht="15" customHeight="1" x14ac:dyDescent="0.25">
      <c r="A46" s="30" t="str">
        <f>"Fixed Cost ±"&amp;TEXT('⚙ SETUP'!$B$16,"0%")</f>
        <v>Fixed Cost ±20%</v>
      </c>
      <c r="B46" s="111">
        <f>'🔬 SENSITIVITY'!$B$22</f>
        <v>2151</v>
      </c>
    </row>
  </sheetData>
  <sheetProtection algorithmName="SHA-512" hashValue="Yk4ufoymMdjbNG29stE9SUesUtJxSUOkZCXiJB3nBkCq0ZbevOwg2Z9jOMFcPnOuAODc5BLH5M35dfF+cERpCA==" saltValue="j7rlSwYWjiAHLiW3sMs4JQ==" spinCount="100000" sheet="1" objects="1" scenarios="1"/>
  <mergeCells count="11">
    <mergeCell ref="A1:N1"/>
    <mergeCell ref="A3:G3"/>
    <mergeCell ref="B4:C4"/>
    <mergeCell ref="B6:C6"/>
    <mergeCell ref="B8:C8"/>
    <mergeCell ref="A42:G42"/>
    <mergeCell ref="B10:C10"/>
    <mergeCell ref="B12:C12"/>
    <mergeCell ref="B14:C14"/>
    <mergeCell ref="A17:G17"/>
    <mergeCell ref="A31:G31"/>
  </mergeCells>
  <pageMargins left="0.75" right="0.75" top="1" bottom="1" header="0.511811023622047" footer="0.511811023622047"/>
  <pageSetup paperSize="9" orientation="landscape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2E86C1"/>
  </sheetPr>
  <dimension ref="A1:B44"/>
  <sheetViews>
    <sheetView topLeftCell="A30" zoomScaleNormal="100" workbookViewId="0">
      <selection sqref="A1:B44"/>
    </sheetView>
  </sheetViews>
  <sheetFormatPr defaultColWidth="75.7109375" defaultRowHeight="15" x14ac:dyDescent="0.25"/>
  <cols>
    <col min="1" max="16384" width="75.7109375" style="1"/>
  </cols>
  <sheetData>
    <row r="1" spans="1:2" ht="30" customHeight="1" x14ac:dyDescent="0.25">
      <c r="A1" s="26" t="s">
        <v>194</v>
      </c>
      <c r="B1" s="26"/>
    </row>
    <row r="3" spans="1:2" ht="19.5" customHeight="1" x14ac:dyDescent="0.25">
      <c r="A3" s="112" t="s">
        <v>195</v>
      </c>
      <c r="B3" s="112"/>
    </row>
    <row r="4" spans="1:2" ht="19.5" customHeight="1" x14ac:dyDescent="0.25">
      <c r="A4" s="33" t="s">
        <v>196</v>
      </c>
      <c r="B4" s="33"/>
    </row>
    <row r="5" spans="1:2" ht="31.5" customHeight="1" x14ac:dyDescent="0.25">
      <c r="A5" s="113" t="s">
        <v>197</v>
      </c>
      <c r="B5" s="113"/>
    </row>
    <row r="6" spans="1:2" ht="19.5" customHeight="1" x14ac:dyDescent="0.25">
      <c r="A6" s="33" t="s">
        <v>198</v>
      </c>
      <c r="B6" s="33"/>
    </row>
    <row r="7" spans="1:2" ht="31.5" customHeight="1" x14ac:dyDescent="0.25">
      <c r="A7" s="113" t="s">
        <v>199</v>
      </c>
      <c r="B7" s="113"/>
    </row>
    <row r="8" spans="1:2" ht="19.5" customHeight="1" x14ac:dyDescent="0.25">
      <c r="A8" s="33" t="s">
        <v>200</v>
      </c>
      <c r="B8" s="33"/>
    </row>
    <row r="9" spans="1:2" ht="31.5" customHeight="1" x14ac:dyDescent="0.25">
      <c r="A9" s="113" t="s">
        <v>201</v>
      </c>
      <c r="B9" s="113"/>
    </row>
    <row r="10" spans="1:2" ht="19.5" customHeight="1" x14ac:dyDescent="0.25">
      <c r="A10" s="33" t="s">
        <v>202</v>
      </c>
      <c r="B10" s="33"/>
    </row>
    <row r="11" spans="1:2" ht="31.5" customHeight="1" x14ac:dyDescent="0.25">
      <c r="A11" s="113" t="s">
        <v>203</v>
      </c>
      <c r="B11" s="113"/>
    </row>
    <row r="12" spans="1:2" ht="19.5" customHeight="1" x14ac:dyDescent="0.25">
      <c r="A12" s="33" t="s">
        <v>204</v>
      </c>
      <c r="B12" s="33"/>
    </row>
    <row r="13" spans="1:2" ht="31.5" customHeight="1" x14ac:dyDescent="0.25">
      <c r="A13" s="113" t="s">
        <v>205</v>
      </c>
      <c r="B13" s="113"/>
    </row>
    <row r="14" spans="1:2" ht="19.5" customHeight="1" x14ac:dyDescent="0.25">
      <c r="A14" s="33" t="s">
        <v>206</v>
      </c>
      <c r="B14" s="33"/>
    </row>
    <row r="15" spans="1:2" ht="31.5" customHeight="1" x14ac:dyDescent="0.25">
      <c r="A15" s="113" t="s">
        <v>207</v>
      </c>
      <c r="B15" s="113"/>
    </row>
    <row r="17" spans="1:2" ht="19.5" customHeight="1" x14ac:dyDescent="0.25">
      <c r="A17" s="112" t="s">
        <v>208</v>
      </c>
      <c r="B17" s="112"/>
    </row>
    <row r="18" spans="1:2" ht="31.5" customHeight="1" x14ac:dyDescent="0.25">
      <c r="A18" s="113" t="s">
        <v>209</v>
      </c>
      <c r="B18" s="113"/>
    </row>
    <row r="19" spans="1:2" ht="31.5" customHeight="1" x14ac:dyDescent="0.25">
      <c r="A19" s="113" t="s">
        <v>210</v>
      </c>
      <c r="B19" s="113"/>
    </row>
    <row r="20" spans="1:2" ht="31.5" customHeight="1" x14ac:dyDescent="0.25">
      <c r="A20" s="113" t="s">
        <v>211</v>
      </c>
      <c r="B20" s="113"/>
    </row>
    <row r="21" spans="1:2" ht="31.5" customHeight="1" x14ac:dyDescent="0.25">
      <c r="A21" s="113" t="s">
        <v>212</v>
      </c>
      <c r="B21" s="113"/>
    </row>
    <row r="22" spans="1:2" ht="31.5" customHeight="1" x14ac:dyDescent="0.25">
      <c r="A22" s="113" t="s">
        <v>213</v>
      </c>
      <c r="B22" s="113"/>
    </row>
    <row r="23" spans="1:2" ht="31.5" customHeight="1" x14ac:dyDescent="0.25">
      <c r="A23" s="113" t="s">
        <v>214</v>
      </c>
      <c r="B23" s="113"/>
    </row>
    <row r="24" spans="1:2" ht="31.5" customHeight="1" x14ac:dyDescent="0.25">
      <c r="A24" s="113" t="s">
        <v>215</v>
      </c>
      <c r="B24" s="113"/>
    </row>
    <row r="25" spans="1:2" ht="31.5" customHeight="1" x14ac:dyDescent="0.25">
      <c r="A25" s="113" t="s">
        <v>216</v>
      </c>
      <c r="B25" s="113"/>
    </row>
    <row r="27" spans="1:2" ht="19.5" customHeight="1" x14ac:dyDescent="0.25">
      <c r="A27" s="112" t="s">
        <v>217</v>
      </c>
      <c r="B27" s="112"/>
    </row>
    <row r="28" spans="1:2" ht="31.5" customHeight="1" x14ac:dyDescent="0.25">
      <c r="A28" s="113" t="s">
        <v>218</v>
      </c>
      <c r="B28" s="113"/>
    </row>
    <row r="29" spans="1:2" ht="31.5" customHeight="1" x14ac:dyDescent="0.25">
      <c r="A29" s="113" t="s">
        <v>219</v>
      </c>
      <c r="B29" s="113"/>
    </row>
    <row r="30" spans="1:2" ht="31.5" customHeight="1" x14ac:dyDescent="0.25">
      <c r="A30" s="113" t="s">
        <v>220</v>
      </c>
      <c r="B30" s="113"/>
    </row>
    <row r="31" spans="1:2" ht="31.5" customHeight="1" x14ac:dyDescent="0.25">
      <c r="A31" s="113" t="s">
        <v>221</v>
      </c>
      <c r="B31" s="113"/>
    </row>
    <row r="32" spans="1:2" ht="31.5" customHeight="1" x14ac:dyDescent="0.25">
      <c r="A32" s="113" t="s">
        <v>222</v>
      </c>
      <c r="B32" s="113"/>
    </row>
    <row r="33" spans="1:2" ht="31.5" customHeight="1" x14ac:dyDescent="0.25">
      <c r="A33" s="113" t="s">
        <v>223</v>
      </c>
      <c r="B33" s="113"/>
    </row>
    <row r="34" spans="1:2" ht="31.5" customHeight="1" x14ac:dyDescent="0.25">
      <c r="A34" s="113" t="s">
        <v>224</v>
      </c>
      <c r="B34" s="113"/>
    </row>
    <row r="36" spans="1:2" ht="19.5" customHeight="1" x14ac:dyDescent="0.25">
      <c r="A36" s="112" t="s">
        <v>225</v>
      </c>
      <c r="B36" s="112"/>
    </row>
    <row r="37" spans="1:2" ht="31.5" customHeight="1" x14ac:dyDescent="0.25">
      <c r="A37" s="113" t="s">
        <v>226</v>
      </c>
      <c r="B37" s="113"/>
    </row>
    <row r="38" spans="1:2" ht="31.5" customHeight="1" x14ac:dyDescent="0.25">
      <c r="A38" s="113" t="s">
        <v>227</v>
      </c>
      <c r="B38" s="113"/>
    </row>
    <row r="39" spans="1:2" ht="31.5" customHeight="1" x14ac:dyDescent="0.25">
      <c r="A39" s="113" t="s">
        <v>228</v>
      </c>
      <c r="B39" s="113"/>
    </row>
    <row r="41" spans="1:2" ht="19.5" customHeight="1" x14ac:dyDescent="0.25">
      <c r="A41" s="112" t="s">
        <v>229</v>
      </c>
      <c r="B41" s="112"/>
    </row>
    <row r="42" spans="1:2" ht="31.5" customHeight="1" x14ac:dyDescent="0.25">
      <c r="A42" s="113" t="s">
        <v>230</v>
      </c>
      <c r="B42" s="113"/>
    </row>
    <row r="44" spans="1:2" ht="15.75" customHeight="1" x14ac:dyDescent="0.25">
      <c r="A44" s="114" t="s">
        <v>231</v>
      </c>
      <c r="B44" s="114"/>
    </row>
  </sheetData>
  <sheetProtection algorithmName="SHA-512" hashValue="CWLGp59SfszWxbRPxiBINf90xx5p7PA4FbD0XqSo9bSQegj8wZkYA3t7MvJG6o6yOZ9rqkjDOB98ytk1MPa8rQ==" saltValue="RBTAQxnQaIHBweh95TkF+g==" spinCount="100000" sheet="1" objects="1" scenarios="1"/>
  <mergeCells count="38">
    <mergeCell ref="A1:B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7:B27"/>
    <mergeCell ref="A28:B28"/>
    <mergeCell ref="A29:B29"/>
    <mergeCell ref="A30:B30"/>
    <mergeCell ref="A31:B31"/>
    <mergeCell ref="A32:B32"/>
    <mergeCell ref="A33:B33"/>
    <mergeCell ref="A41:B41"/>
    <mergeCell ref="A42:B42"/>
    <mergeCell ref="A44:B44"/>
    <mergeCell ref="A34:B34"/>
    <mergeCell ref="A36:B36"/>
    <mergeCell ref="A37:B37"/>
    <mergeCell ref="A38:B38"/>
    <mergeCell ref="A39:B39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🏠 COVER</vt:lpstr>
      <vt:lpstr>⚙ SETUP</vt:lpstr>
      <vt:lpstr>📦 PRODUCT INPUTS</vt:lpstr>
      <vt:lpstr>📊 BREAK-EVEN ANALYSIS</vt:lpstr>
      <vt:lpstr>⚡ OPERATING LEVERAGE</vt:lpstr>
      <vt:lpstr>🔬 SENSITIVITY</vt:lpstr>
      <vt:lpstr>📈 DASHBOARD</vt:lpstr>
      <vt:lpstr>📖 HOW TO USE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description/>
  <cp:lastModifiedBy>madhu roy</cp:lastModifiedBy>
  <cp:revision>12</cp:revision>
  <dcterms:created xsi:type="dcterms:W3CDTF">2026-08-15T06:26:05Z</dcterms:created>
  <dcterms:modified xsi:type="dcterms:W3CDTF">2026-08-15T10:58:20Z</dcterms:modified>
  <dc:language>en-US</dc:language>
</cp:coreProperties>
</file>