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ACER Data website\MAYA\CAMSROY website\Excel Template\Payroll register\"/>
    </mc:Choice>
  </mc:AlternateContent>
  <xr:revisionPtr revIDLastSave="0" documentId="13_ncr:1_{CC3A16AE-46A3-48A2-A990-BD320AD6BD3B}" xr6:coauthVersionLast="47" xr6:coauthVersionMax="47" xr10:uidLastSave="{00000000-0000-0000-0000-000000000000}"/>
  <bookViews>
    <workbookView xWindow="-120" yWindow="-120" windowWidth="25440" windowHeight="15270" tabRatio="500" xr2:uid="{00000000-000D-0000-FFFF-FFFF00000000}"/>
  </bookViews>
  <sheets>
    <sheet name="🏠 COVER" sheetId="1" r:id="rId1"/>
    <sheet name="⚙ PAYROLL SETUP" sheetId="2" r:id="rId2"/>
    <sheet name="👥 EMPLOYEE MASTER" sheetId="3" r:id="rId3"/>
    <sheet name="📋 SALARY REGISTER" sheetId="4" r:id="rId4"/>
    <sheet name="💰 PAYSLIP GENERATOR" sheetId="5" r:id="rId5"/>
    <sheet name="📊 PAYROLL SUMMARY" sheetId="6" r:id="rId6"/>
    <sheet name="📖 HOW TO USE" sheetId="7" r:id="rId7"/>
  </sheets>
  <definedNames>
    <definedName name="_xlnm.Print_Area" localSheetId="1">'⚙ PAYROLL SETUP'!$A$1:$E$48</definedName>
    <definedName name="_xlnm.Print_Area" localSheetId="2">'👥 EMPLOYEE MASTER'!$A$1:$M$21</definedName>
    <definedName name="_xlnm.Print_Area" localSheetId="4">'💰 PAYSLIP GENERATOR'!$A$1:$F$46</definedName>
    <definedName name="_xlnm.Print_Area" localSheetId="5">'📊 PAYROLL SUMMARY'!$A$1:$G$33</definedName>
    <definedName name="_xlnm.Print_Area" localSheetId="3">'📋 SALARY REGISTER'!$A$1:$V$22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30" i="6" l="1"/>
  <c r="B29" i="6"/>
  <c r="B28" i="6"/>
  <c r="B27" i="6"/>
  <c r="B26" i="6"/>
  <c r="B25" i="6"/>
  <c r="B24" i="6"/>
  <c r="B31" i="6" s="1"/>
  <c r="B12" i="6"/>
  <c r="D32" i="5"/>
  <c r="D24" i="5"/>
  <c r="D23" i="5"/>
  <c r="D22" i="5"/>
  <c r="D21" i="5"/>
  <c r="E16" i="5"/>
  <c r="C16" i="5"/>
  <c r="E15" i="5"/>
  <c r="C15" i="5"/>
  <c r="C12" i="5"/>
  <c r="E11" i="5"/>
  <c r="C11" i="5"/>
  <c r="E10" i="5"/>
  <c r="C10" i="5"/>
  <c r="E9" i="5"/>
  <c r="C9" i="5"/>
  <c r="T21" i="4"/>
  <c r="L21" i="4"/>
  <c r="K21" i="4"/>
  <c r="H21" i="4"/>
  <c r="G21" i="4"/>
  <c r="F21" i="4"/>
  <c r="E21" i="4"/>
  <c r="N20" i="4"/>
  <c r="M20" i="4"/>
  <c r="L20" i="4"/>
  <c r="K20" i="4"/>
  <c r="J20" i="4"/>
  <c r="I20" i="4"/>
  <c r="D20" i="4"/>
  <c r="C20" i="4"/>
  <c r="B20" i="4"/>
  <c r="N19" i="4"/>
  <c r="M19" i="4"/>
  <c r="L19" i="4"/>
  <c r="K19" i="4"/>
  <c r="J19" i="4"/>
  <c r="I19" i="4"/>
  <c r="D19" i="4"/>
  <c r="C19" i="4"/>
  <c r="B19" i="4"/>
  <c r="N18" i="4"/>
  <c r="N21" i="4" s="1"/>
  <c r="M18" i="4"/>
  <c r="L18" i="4"/>
  <c r="K18" i="4"/>
  <c r="J18" i="4"/>
  <c r="I18" i="4"/>
  <c r="D18" i="4"/>
  <c r="C18" i="4"/>
  <c r="B18" i="4"/>
  <c r="N17" i="4"/>
  <c r="M17" i="4"/>
  <c r="L17" i="4"/>
  <c r="K17" i="4"/>
  <c r="J17" i="4"/>
  <c r="I17" i="4"/>
  <c r="D17" i="4"/>
  <c r="C17" i="4"/>
  <c r="B17" i="4"/>
  <c r="N16" i="4"/>
  <c r="M16" i="4"/>
  <c r="L16" i="4"/>
  <c r="K16" i="4"/>
  <c r="J16" i="4"/>
  <c r="I16" i="4"/>
  <c r="D16" i="4"/>
  <c r="C16" i="4"/>
  <c r="B16" i="4"/>
  <c r="N15" i="4"/>
  <c r="M15" i="4"/>
  <c r="L15" i="4"/>
  <c r="K15" i="4"/>
  <c r="J15" i="4"/>
  <c r="I15" i="4"/>
  <c r="D15" i="4"/>
  <c r="C15" i="4"/>
  <c r="B15" i="4"/>
  <c r="N14" i="4"/>
  <c r="M14" i="4"/>
  <c r="L14" i="4"/>
  <c r="K14" i="4"/>
  <c r="J14" i="4"/>
  <c r="I14" i="4"/>
  <c r="D14" i="4"/>
  <c r="C14" i="4"/>
  <c r="B14" i="4"/>
  <c r="N13" i="4"/>
  <c r="M13" i="4"/>
  <c r="L13" i="4"/>
  <c r="K13" i="4"/>
  <c r="J13" i="4"/>
  <c r="I13" i="4"/>
  <c r="D13" i="4"/>
  <c r="C13" i="4"/>
  <c r="B13" i="4"/>
  <c r="N12" i="4"/>
  <c r="M12" i="4"/>
  <c r="L12" i="4"/>
  <c r="K12" i="4"/>
  <c r="J12" i="4"/>
  <c r="I12" i="4"/>
  <c r="D12" i="4"/>
  <c r="C12" i="4"/>
  <c r="B12" i="4"/>
  <c r="N11" i="4"/>
  <c r="M11" i="4"/>
  <c r="M21" i="4" s="1"/>
  <c r="L11" i="4"/>
  <c r="K11" i="4"/>
  <c r="J11" i="4"/>
  <c r="I11" i="4"/>
  <c r="D11" i="4"/>
  <c r="C11" i="4"/>
  <c r="B11" i="4"/>
  <c r="N10" i="4"/>
  <c r="M10" i="4"/>
  <c r="L10" i="4"/>
  <c r="K10" i="4"/>
  <c r="J10" i="4"/>
  <c r="I10" i="4"/>
  <c r="D10" i="4"/>
  <c r="C10" i="4"/>
  <c r="B10" i="4"/>
  <c r="P9" i="4"/>
  <c r="N9" i="4"/>
  <c r="M9" i="4"/>
  <c r="L9" i="4"/>
  <c r="K9" i="4"/>
  <c r="J9" i="4"/>
  <c r="I9" i="4"/>
  <c r="O9" i="4" s="1"/>
  <c r="D9" i="4"/>
  <c r="C9" i="4"/>
  <c r="B9" i="4"/>
  <c r="N8" i="4"/>
  <c r="M8" i="4"/>
  <c r="L8" i="4"/>
  <c r="K8" i="4"/>
  <c r="J8" i="4"/>
  <c r="I8" i="4"/>
  <c r="D8" i="4"/>
  <c r="C8" i="4"/>
  <c r="B8" i="4"/>
  <c r="N7" i="4"/>
  <c r="M7" i="4"/>
  <c r="L7" i="4"/>
  <c r="K7" i="4"/>
  <c r="J7" i="4"/>
  <c r="I7" i="4"/>
  <c r="D7" i="4"/>
  <c r="C7" i="4"/>
  <c r="B7" i="4"/>
  <c r="N6" i="4"/>
  <c r="M6" i="4"/>
  <c r="L6" i="4"/>
  <c r="K6" i="4"/>
  <c r="J6" i="4"/>
  <c r="I6" i="4"/>
  <c r="D6" i="4"/>
  <c r="C6" i="4"/>
  <c r="B6" i="4"/>
  <c r="I19" i="3"/>
  <c r="H19" i="3"/>
  <c r="G19" i="3"/>
  <c r="D20" i="5" l="1"/>
  <c r="J21" i="4"/>
  <c r="C40" i="5"/>
  <c r="I21" i="4"/>
  <c r="C16" i="6" s="1"/>
  <c r="D19" i="5"/>
  <c r="P20" i="4"/>
  <c r="O20" i="4"/>
  <c r="P19" i="4"/>
  <c r="O19" i="4"/>
  <c r="P18" i="4"/>
  <c r="O18" i="4"/>
  <c r="P17" i="4"/>
  <c r="O17" i="4"/>
  <c r="P16" i="4"/>
  <c r="O16" i="4"/>
  <c r="P15" i="4"/>
  <c r="O15" i="4"/>
  <c r="C25" i="6" s="1"/>
  <c r="P14" i="4"/>
  <c r="O14" i="4"/>
  <c r="P13" i="4"/>
  <c r="O13" i="4"/>
  <c r="P12" i="4"/>
  <c r="O12" i="4"/>
  <c r="P11" i="4"/>
  <c r="O11" i="4"/>
  <c r="P10" i="4"/>
  <c r="O10" i="4"/>
  <c r="Q9" i="4"/>
  <c r="R9" i="4"/>
  <c r="S9" i="4"/>
  <c r="P8" i="4"/>
  <c r="O8" i="4"/>
  <c r="P7" i="4"/>
  <c r="O7" i="4"/>
  <c r="P6" i="4"/>
  <c r="O6" i="4"/>
  <c r="Q20" i="4" l="1"/>
  <c r="R20" i="4"/>
  <c r="S20" i="4"/>
  <c r="E30" i="6"/>
  <c r="Q19" i="4"/>
  <c r="U19" i="4" s="1"/>
  <c r="V19" i="4" s="1"/>
  <c r="D30" i="6" s="1"/>
  <c r="G30" i="6" s="1"/>
  <c r="R19" i="4"/>
  <c r="S19" i="4"/>
  <c r="F30" i="6" s="1"/>
  <c r="C30" i="6"/>
  <c r="Q18" i="4"/>
  <c r="R18" i="4"/>
  <c r="S18" i="4"/>
  <c r="Q17" i="4"/>
  <c r="R17" i="4"/>
  <c r="S17" i="4"/>
  <c r="Q16" i="4"/>
  <c r="R16" i="4"/>
  <c r="S16" i="4"/>
  <c r="E25" i="6"/>
  <c r="Q15" i="4"/>
  <c r="U15" i="4" s="1"/>
  <c r="V15" i="4" s="1"/>
  <c r="D25" i="6" s="1"/>
  <c r="G25" i="6" s="1"/>
  <c r="R15" i="4"/>
  <c r="S15" i="4"/>
  <c r="F25" i="6" s="1"/>
  <c r="Q14" i="4"/>
  <c r="U14" i="4" s="1"/>
  <c r="V14" i="4" s="1"/>
  <c r="R14" i="4"/>
  <c r="S14" i="4"/>
  <c r="Q13" i="4"/>
  <c r="R13" i="4"/>
  <c r="S13" i="4"/>
  <c r="Q12" i="4"/>
  <c r="R12" i="4"/>
  <c r="S12" i="4"/>
  <c r="E26" i="6"/>
  <c r="Q11" i="4"/>
  <c r="U11" i="4" s="1"/>
  <c r="V11" i="4" s="1"/>
  <c r="D26" i="6" s="1"/>
  <c r="G26" i="6" s="1"/>
  <c r="R11" i="4"/>
  <c r="S11" i="4"/>
  <c r="F26" i="6" s="1"/>
  <c r="C26" i="6"/>
  <c r="E28" i="6"/>
  <c r="Q10" i="4"/>
  <c r="U10" i="4" s="1"/>
  <c r="V10" i="4" s="1"/>
  <c r="R10" i="4"/>
  <c r="S10" i="4"/>
  <c r="C28" i="6"/>
  <c r="E29" i="6"/>
  <c r="Q8" i="4"/>
  <c r="U8" i="4" s="1"/>
  <c r="V8" i="4" s="1"/>
  <c r="R8" i="4"/>
  <c r="S8" i="4"/>
  <c r="C29" i="6"/>
  <c r="E24" i="6"/>
  <c r="Q7" i="4"/>
  <c r="U7" i="4" s="1"/>
  <c r="V7" i="4" s="1"/>
  <c r="R7" i="4"/>
  <c r="S7" i="4"/>
  <c r="F24" i="6" s="1"/>
  <c r="C24" i="6"/>
  <c r="D28" i="5"/>
  <c r="E27" i="6"/>
  <c r="P21" i="4"/>
  <c r="Q6" i="4"/>
  <c r="R6" i="4"/>
  <c r="S6" i="4"/>
  <c r="C27" i="6"/>
  <c r="O21" i="4"/>
  <c r="B5" i="6" s="1"/>
  <c r="C12" i="6" s="1"/>
  <c r="D26" i="5"/>
  <c r="C17" i="6"/>
  <c r="C20" i="6" s="1"/>
  <c r="C41" i="5"/>
  <c r="U9" i="4"/>
  <c r="V9" i="4" s="1"/>
  <c r="U6" i="4" l="1"/>
  <c r="D34" i="5"/>
  <c r="B16" i="6"/>
  <c r="B7" i="6"/>
  <c r="C7" i="6" s="1"/>
  <c r="Q21" i="4"/>
  <c r="D29" i="5"/>
  <c r="R21" i="4"/>
  <c r="D30" i="5"/>
  <c r="D31" i="5"/>
  <c r="S21" i="4"/>
  <c r="F27" i="6"/>
  <c r="U17" i="4"/>
  <c r="V17" i="4" s="1"/>
  <c r="U16" i="4"/>
  <c r="V16" i="4" s="1"/>
  <c r="U13" i="4"/>
  <c r="V13" i="4" s="1"/>
  <c r="U12" i="4"/>
  <c r="V12" i="4" s="1"/>
  <c r="D24" i="6" s="1"/>
  <c r="U20" i="4"/>
  <c r="V20" i="4" s="1"/>
  <c r="F28" i="6"/>
  <c r="F29" i="6"/>
  <c r="E31" i="6"/>
  <c r="C31" i="6"/>
  <c r="U18" i="4"/>
  <c r="V18" i="4" s="1"/>
  <c r="D28" i="6" s="1"/>
  <c r="G28" i="6" s="1"/>
  <c r="V6" i="4" l="1"/>
  <c r="U21" i="4"/>
  <c r="B11" i="6" s="1"/>
  <c r="C11" i="6" s="1"/>
  <c r="D16" i="6"/>
  <c r="B17" i="6"/>
  <c r="B8" i="6"/>
  <c r="C8" i="6" s="1"/>
  <c r="B9" i="6"/>
  <c r="C9" i="6" s="1"/>
  <c r="B18" i="6"/>
  <c r="D18" i="6" s="1"/>
  <c r="B10" i="6"/>
  <c r="C10" i="6" s="1"/>
  <c r="B19" i="6"/>
  <c r="D19" i="6" s="1"/>
  <c r="G24" i="6"/>
  <c r="F31" i="6"/>
  <c r="D29" i="6"/>
  <c r="D27" i="6" l="1"/>
  <c r="V21" i="4"/>
  <c r="B6" i="6" s="1"/>
  <c r="C6" i="6" s="1"/>
  <c r="D36" i="5"/>
  <c r="D17" i="6"/>
  <c r="B20" i="6"/>
  <c r="D20" i="6" s="1"/>
  <c r="G29" i="6"/>
  <c r="G27" i="6" l="1"/>
  <c r="D31" i="6"/>
  <c r="G31" i="6" s="1"/>
</calcChain>
</file>

<file path=xl/sharedStrings.xml><?xml version="1.0" encoding="utf-8"?>
<sst xmlns="http://schemas.openxmlformats.org/spreadsheetml/2006/main" count="447" uniqueCount="367">
  <si>
    <t>📊  camsroy.com</t>
  </si>
  <si>
    <t>Smart Finance Templates  |  Built for Indian SMEs, Startups &amp; Finance Professionals</t>
  </si>
  <si>
    <t>PAYROLL MANAGEMENT</t>
  </si>
  <si>
    <t>&amp; Salary Register Excel Template</t>
  </si>
  <si>
    <t>India Payroll · EPF · ESI · PT · TDS · Salary Slips</t>
  </si>
  <si>
    <t>Company Name</t>
  </si>
  <si>
    <t>[Enter Company Name]</t>
  </si>
  <si>
    <t>Month / Year</t>
  </si>
  <si>
    <t>April 2025</t>
  </si>
  <si>
    <t>City Type</t>
  </si>
  <si>
    <t>Metro (Mumbai/Delhi/Chennai/Kolkata)</t>
  </si>
  <si>
    <t>EPF Rate (Employee)</t>
  </si>
  <si>
    <t>12% of Basic+DA</t>
  </si>
  <si>
    <t>ESI Rate (Employee)</t>
  </si>
  <si>
    <t>0.75% of Gross (if Gross ≤ ₹21,000)</t>
  </si>
  <si>
    <t>Professional Tax</t>
  </si>
  <si>
    <t>As per state slab</t>
  </si>
  <si>
    <t>Prepared By</t>
  </si>
  <si>
    <t>[HR / Accounts]</t>
  </si>
  <si>
    <t>📋  WORKBOOK NAVIGATION</t>
  </si>
  <si>
    <t>⚙</t>
  </si>
  <si>
    <t xml:space="preserve">  PAYROLL SETUP  —  Rates: EPF, ESI, PT, HRA, allowances config</t>
  </si>
  <si>
    <t>👥</t>
  </si>
  <si>
    <t xml:space="preserve">  EMPLOYEE MASTER  —  Employee database: CTC, designation, bank details</t>
  </si>
  <si>
    <t>📋</t>
  </si>
  <si>
    <t xml:space="preserve">  SALARY REGISTER  —  Monthly payroll — gross, deductions, net pay for all staff</t>
  </si>
  <si>
    <t>💰</t>
  </si>
  <si>
    <t xml:space="preserve">  PAYSLIP GENERATOR  —  Auto-generates individual salary slips by Employee ID</t>
  </si>
  <si>
    <t>📊</t>
  </si>
  <si>
    <t xml:space="preserve">  PAYROLL SUMMARY  —  Department-wise cost summary &amp; compliance totals</t>
  </si>
  <si>
    <t>📖</t>
  </si>
  <si>
    <t xml:space="preserve">  HOW TO USE  —  Step-by-step guide &amp; statutory rate notes</t>
  </si>
  <si>
    <t>📊  KEY COMPLIANCE RATES (FY 2025-26)</t>
  </si>
  <si>
    <t>EPF Employee</t>
  </si>
  <si>
    <t>12% of (Basic + DA)</t>
  </si>
  <si>
    <t>EPF Employer</t>
  </si>
  <si>
    <t>12% of (Basic + DA)  [EPS: 8.33% up to ₹15,000]</t>
  </si>
  <si>
    <t>ESI Employee</t>
  </si>
  <si>
    <t>0.75% of Gross  [if Gross ≤ ₹21,000]</t>
  </si>
  <si>
    <t>ESI Employer</t>
  </si>
  <si>
    <t>3.25% of Gross  [if Gross ≤ ₹21,000]</t>
  </si>
  <si>
    <t>HRA — Metro</t>
  </si>
  <si>
    <t>50% of Basic Salary</t>
  </si>
  <si>
    <t>HRA — Non-Metro</t>
  </si>
  <si>
    <t>40% of Basic Salary</t>
  </si>
  <si>
    <t>Prof. Tax — MH</t>
  </si>
  <si>
    <t>₹200/month (if Gross &gt; ₹10,000)</t>
  </si>
  <si>
    <t>TDS</t>
  </si>
  <si>
    <t>As per Income Tax slab — Section 192</t>
  </si>
  <si>
    <t>© camsroy.com  |  Free for personal &amp; commercial use  |  www.camsroy.com</t>
  </si>
  <si>
    <t>📊  camsroy.com  |  PAYROLL SETUP  —  Statutory Rates &amp; Salary Structure Config</t>
  </si>
  <si>
    <t>Configure all rates here. Salary Register pulls values from this sheet automatically. Blue cells = Input.</t>
  </si>
  <si>
    <t>⚖  SECTION A — STATUTORY DEDUCTION RATES (FY 2025-26)</t>
  </si>
  <si>
    <t>Component</t>
  </si>
  <si>
    <t>Employee Rate</t>
  </si>
  <si>
    <t>Employer Rate</t>
  </si>
  <si>
    <t>Applicability</t>
  </si>
  <si>
    <t>Cell Reference</t>
  </si>
  <si>
    <t>EPF — Employee Contribution</t>
  </si>
  <si>
    <t>—</t>
  </si>
  <si>
    <t>B5</t>
  </si>
  <si>
    <t>EPF — Employer Contribution (EPS)</t>
  </si>
  <si>
    <t>8.33% of Basic+DA (max ₹15k base)</t>
  </si>
  <si>
    <t>C6</t>
  </si>
  <si>
    <t>EPF — Employer Contribution (EPF)</t>
  </si>
  <si>
    <t>3.67% of Basic+DA</t>
  </si>
  <si>
    <t>C7</t>
  </si>
  <si>
    <t>ESI — Employee Contribution</t>
  </si>
  <si>
    <t>B8</t>
  </si>
  <si>
    <t>ESI — Employer Contribution</t>
  </si>
  <si>
    <t>3.25% of Gross (if Gross ≤ ₹21,000)</t>
  </si>
  <si>
    <t>C9</t>
  </si>
  <si>
    <t>Professional Tax — Maharashtra</t>
  </si>
  <si>
    <t>₹200/month if Gross &gt; ₹10,000</t>
  </si>
  <si>
    <t>B10</t>
  </si>
  <si>
    <t>Labour Welfare Fund (LWF) — MH</t>
  </si>
  <si>
    <t>₹6 employee / ₹12 employer (annual)</t>
  </si>
  <si>
    <t>B11</t>
  </si>
  <si>
    <t>ESI Gross Ceiling (₹)</t>
  </si>
  <si>
    <t>ESI applies only if Gross ≤ this</t>
  </si>
  <si>
    <t>B12</t>
  </si>
  <si>
    <t>EPF Basic+DA Ceiling (₹)</t>
  </si>
  <si>
    <t>EPS capped at this for 8.33%</t>
  </si>
  <si>
    <t>B13</t>
  </si>
  <si>
    <t>💰  SECTION B — STANDARD SALARY STRUCTURE</t>
  </si>
  <si>
    <t>% of Basic / CTC</t>
  </si>
  <si>
    <t>Basis</t>
  </si>
  <si>
    <t>Notes</t>
  </si>
  <si>
    <t>Basic Salary</t>
  </si>
  <si>
    <t>40–50% of CTC</t>
  </si>
  <si>
    <t>% of CTC</t>
  </si>
  <si>
    <t>Core taxable component; EPF calculated on this</t>
  </si>
  <si>
    <t>HRA — Metro Cities</t>
  </si>
  <si>
    <t>50% of Basic</t>
  </si>
  <si>
    <t>% of Basic</t>
  </si>
  <si>
    <t>Mumbai, Delhi, Chennai, Kolkata</t>
  </si>
  <si>
    <t>40% of Basic</t>
  </si>
  <si>
    <t>All other cities</t>
  </si>
  <si>
    <t>Dearness Allowance (DA)</t>
  </si>
  <si>
    <t>Varies</t>
  </si>
  <si>
    <t>Govt employees; many pvt co. pay 0</t>
  </si>
  <si>
    <t>Special Allowance</t>
  </si>
  <si>
    <t>Balance of CTC</t>
  </si>
  <si>
    <t>Residual</t>
  </si>
  <si>
    <t>CTC minus all other components</t>
  </si>
  <si>
    <t>Leave Travel Allowance (LTA)</t>
  </si>
  <si>
    <t>As per policy</t>
  </si>
  <si>
    <t>Fixed</t>
  </si>
  <si>
    <t>Exempt under Section 10(5)</t>
  </si>
  <si>
    <t>Medical Allowance</t>
  </si>
  <si>
    <t>₹1,250/month</t>
  </si>
  <si>
    <t>Exempt up to ₹15,000/year</t>
  </si>
  <si>
    <t>Conveyance Allowance</t>
  </si>
  <si>
    <t>₹1,600/month</t>
  </si>
  <si>
    <t>Exempt under Section 10(14)</t>
  </si>
  <si>
    <t>Performance Bonus</t>
  </si>
  <si>
    <t>Variable</t>
  </si>
  <si>
    <t>Fully taxable</t>
  </si>
  <si>
    <t>Employer EPF Contribution</t>
  </si>
  <si>
    <t>Statutory</t>
  </si>
  <si>
    <t>Added to CTC; not in gross</t>
  </si>
  <si>
    <t>Employer ESI Contribution</t>
  </si>
  <si>
    <t>3.25% of Gross</t>
  </si>
  <si>
    <t>If applicable</t>
  </si>
  <si>
    <t>🏠  SECTION C — HRA CONFIGURATION (Change as needed)</t>
  </si>
  <si>
    <t>Metro HRA Rate</t>
  </si>
  <si>
    <t>B30</t>
  </si>
  <si>
    <t>50% of Basic — Mumbai, Delhi, Chennai, Kolkata</t>
  </si>
  <si>
    <t>Non-Metro HRA Rate</t>
  </si>
  <si>
    <t>B31</t>
  </si>
  <si>
    <t>40% of Basic — all other cities</t>
  </si>
  <si>
    <t>City Type (this company)</t>
  </si>
  <si>
    <t>Metro</t>
  </si>
  <si>
    <t>B32</t>
  </si>
  <si>
    <t>Enter: Metro or Non-Metro</t>
  </si>
  <si>
    <t>⚠  All rates in this sheet are linked from the Salary Register and Payslip Generator. Change rates here and all sheets update automatically.  |  Source: EPF Act 1952, ESI Act 1948, IT Act 1961  |  © camsroy.com</t>
  </si>
  <si>
    <t>📐  SECTION D — TDS AUTO-CALCULATOR  (New Tax Regime FY 2025-26, default per Finance Act 2025)</t>
  </si>
  <si>
    <t>Income Slab From (₹)</t>
  </si>
  <si>
    <t>Income Slab To (₹)</t>
  </si>
  <si>
    <t>Rate</t>
  </si>
  <si>
    <t>(displays as ₹9,99,99,999 = effectively unlimited)</t>
  </si>
  <si>
    <t>Standard Deduction (Salaried) (₹)</t>
  </si>
  <si>
    <t>Section 87A Rebate Threshold (₹)</t>
  </si>
  <si>
    <t>Health &amp; Education Cess Rate</t>
  </si>
  <si>
    <t>ℹ  TDS in Salary Register auto-calculates using these New Regime slabs. For employees who have opted for the OLD regime (with HRA/80C/investment declarations), manually overwrite that employee's TDS cell in the Salary Register.</t>
  </si>
  <si>
    <t>📊  camsroy.com  |  EMPLOYEE MASTER  —  Staff Database &amp; CTC Details</t>
  </si>
  <si>
    <t>Enter employee details once. Salary Register and Payslip Generator pull from here automatically. Blue cells = Input.</t>
  </si>
  <si>
    <t>#</t>
  </si>
  <si>
    <t>Employee ID</t>
  </si>
  <si>
    <t>Employee Name</t>
  </si>
  <si>
    <t>Designation</t>
  </si>
  <si>
    <t>Department</t>
  </si>
  <si>
    <t>Date of Join</t>
  </si>
  <si>
    <t>CTC (Annual ₹)</t>
  </si>
  <si>
    <t>Basic (Monthly ₹)</t>
  </si>
  <si>
    <t>HRA (Monthly ₹)</t>
  </si>
  <si>
    <t>Special Allow. (₹)</t>
  </si>
  <si>
    <t>LTA (Monthly ₹)</t>
  </si>
  <si>
    <t>Bank Account No.</t>
  </si>
  <si>
    <t>PAN Number</t>
  </si>
  <si>
    <t>E001</t>
  </si>
  <si>
    <t>Rajesh Kumar Sharma</t>
  </si>
  <si>
    <t>General Manager</t>
  </si>
  <si>
    <t>Operations</t>
  </si>
  <si>
    <t>01-Apr-22</t>
  </si>
  <si>
    <t>XXXX-XXXX-XXXX</t>
  </si>
  <si>
    <t>XXXXX0000X</t>
  </si>
  <si>
    <t>E002</t>
  </si>
  <si>
    <t>Priya Venkataraman</t>
  </si>
  <si>
    <t>Finance Manager</t>
  </si>
  <si>
    <t>Finance</t>
  </si>
  <si>
    <t>15-Jun-21</t>
  </si>
  <si>
    <t>E003</t>
  </si>
  <si>
    <t>Amit Singh Rathore</t>
  </si>
  <si>
    <t>Senior Developer</t>
  </si>
  <si>
    <t>Technology</t>
  </si>
  <si>
    <t>01-Jan-23</t>
  </si>
  <si>
    <t>E004</t>
  </si>
  <si>
    <t>Sunita Menon</t>
  </si>
  <si>
    <t>HR Manager</t>
  </si>
  <si>
    <t>HR</t>
  </si>
  <si>
    <t>10-Mar-20</t>
  </si>
  <si>
    <t>E005</t>
  </si>
  <si>
    <t>Mohammed Iqbal Khan</t>
  </si>
  <si>
    <t>Sales Manager</t>
  </si>
  <si>
    <t>Sales</t>
  </si>
  <si>
    <t>01-Jul-22</t>
  </si>
  <si>
    <t>E006</t>
  </si>
  <si>
    <t>Deepika Krishnamurthy</t>
  </si>
  <si>
    <t>Marketing Executive</t>
  </si>
  <si>
    <t>Marketing</t>
  </si>
  <si>
    <t>01-Apr-24</t>
  </si>
  <si>
    <t>E007</t>
  </si>
  <si>
    <t>Ravi Prakash Gupta</t>
  </si>
  <si>
    <t>Accountant</t>
  </si>
  <si>
    <t>15-Sep-22</t>
  </si>
  <si>
    <t>E008</t>
  </si>
  <si>
    <t>Kavitha Subramaniam</t>
  </si>
  <si>
    <t>Software Developer</t>
  </si>
  <si>
    <t>01-Feb-23</t>
  </si>
  <si>
    <t>E009</t>
  </si>
  <si>
    <t>Suresh Babu Nair</t>
  </si>
  <si>
    <t>Sales Executive</t>
  </si>
  <si>
    <t>01-Oct-23</t>
  </si>
  <si>
    <t>E010</t>
  </si>
  <si>
    <t>Pooja Agarwal</t>
  </si>
  <si>
    <t>HR Executive</t>
  </si>
  <si>
    <t>01-Jun-24</t>
  </si>
  <si>
    <t>E011</t>
  </si>
  <si>
    <t>Naresh Chandra Patel</t>
  </si>
  <si>
    <t>Operations Manager</t>
  </si>
  <si>
    <t>01-Jan-22</t>
  </si>
  <si>
    <t>E012</t>
  </si>
  <si>
    <t>Lakshmi Narayan Iyer</t>
  </si>
  <si>
    <t>Senior Accountant</t>
  </si>
  <si>
    <t>01-Apr-21</t>
  </si>
  <si>
    <t>E013</t>
  </si>
  <si>
    <t>Vikram Anand Malhotra</t>
  </si>
  <si>
    <t>Business Dev Exec</t>
  </si>
  <si>
    <t>01-Mar-24</t>
  </si>
  <si>
    <t>E014</t>
  </si>
  <si>
    <t>Anita Devi Joshi</t>
  </si>
  <si>
    <t>Admin Executive</t>
  </si>
  <si>
    <t>Admin</t>
  </si>
  <si>
    <t>01-Jul-23</t>
  </si>
  <si>
    <t>E015</t>
  </si>
  <si>
    <t>Karthik Ramesh Pillai</t>
  </si>
  <si>
    <t>QA Engineer</t>
  </si>
  <si>
    <t>01-Nov-22</t>
  </si>
  <si>
    <t>TOTAL HEADCOUNT &amp; ANNUAL CTC</t>
  </si>
  <si>
    <t>ℹ  Enter CTC as annual figure (₹). Basic, HRA, Special Allowance are pre-calculated at standard split. Adjust individual cells if your company uses a different structure.  |  © camsroy.com</t>
  </si>
  <si>
    <t>📊  camsroy.com  |  SALARY REGISTER  —  Monthly Payroll Sheet (India Compliant)</t>
  </si>
  <si>
    <t>Enter working days, present days, leave data only. All salary and deduction columns auto-calculate from Employee Master &amp; Setup.</t>
  </si>
  <si>
    <t>📅  Payroll Month / Year →</t>
  </si>
  <si>
    <t>← Change month here</t>
  </si>
  <si>
    <t>👤  EMPLOYEE DETAILS &amp; ATTENDANCE</t>
  </si>
  <si>
    <t>💰  EARNINGS (₹)</t>
  </si>
  <si>
    <t>💸  DEDUCTIONS &amp; NET PAY (₹)</t>
  </si>
  <si>
    <t>Emp ID</t>
  </si>
  <si>
    <t>Working
Days</t>
  </si>
  <si>
    <t>Days
Present</t>
  </si>
  <si>
    <t>LWP
Days</t>
  </si>
  <si>
    <t>LOP
Days</t>
  </si>
  <si>
    <t>Basic (₹)</t>
  </si>
  <si>
    <t>HRA (₹)</t>
  </si>
  <si>
    <t>Special
Allow (₹)</t>
  </si>
  <si>
    <t>LTA (₹)</t>
  </si>
  <si>
    <t>Conv.
(₹)</t>
  </si>
  <si>
    <t>Medical
(₹)</t>
  </si>
  <si>
    <t>GROSS
SALARY (₹)</t>
  </si>
  <si>
    <t>EPF
(Emp 12%)</t>
  </si>
  <si>
    <t>ESI
(0.75%)</t>
  </si>
  <si>
    <t>Prof.
Tax (₹)</t>
  </si>
  <si>
    <t>TDS
(Auto-Calc)</t>
  </si>
  <si>
    <t>Advance/
Other (₹)</t>
  </si>
  <si>
    <t>TOTAL
DEDUCT (₹)</t>
  </si>
  <si>
    <t>NET
PAY (₹)</t>
  </si>
  <si>
    <t>MONTHLY PAYROLL TOTALS</t>
  </si>
  <si>
    <t>ℹ  Blue cells = Input (attendance &amp; TDS). All salary, EPF, ESI, PT auto-calculate. TDS per employee must be entered manually based on Form 16 projection.  EPF = 12% Basic | ESI = 0.75% Gross (if ≤₹21,000) | PT = ₹200 (MH, if Gross&gt;₹10k)  |  © camsroy.com</t>
  </si>
  <si>
    <t>📊  camsroy.com  |  PAYSLIP GENERATOR  —  Select Employee ID to Generate Salary Slip</t>
  </si>
  <si>
    <t>🔍  Select Employee ID →</t>
  </si>
  <si>
    <t>← Change ID (E001–E015)</t>
  </si>
  <si>
    <t>SALARY SLIP</t>
  </si>
  <si>
    <t>[Company Name]  |  [Company Address]  |  CIN / GSTIN: [xxxx]</t>
  </si>
  <si>
    <t>PAYSLIP  —  Month: April 2025</t>
  </si>
  <si>
    <t>EMPLOYEE DETAILS</t>
  </si>
  <si>
    <t>Date of Joining</t>
  </si>
  <si>
    <t>Month</t>
  </si>
  <si>
    <t>ATTENDANCE</t>
  </si>
  <si>
    <t>Working Days</t>
  </si>
  <si>
    <t>Days Present</t>
  </si>
  <si>
    <t>LWP Days</t>
  </si>
  <si>
    <t>LOP Days</t>
  </si>
  <si>
    <t>EARNINGS</t>
  </si>
  <si>
    <t>House Rent Allowance</t>
  </si>
  <si>
    <t>LTA</t>
  </si>
  <si>
    <t>GROSS SALARY</t>
  </si>
  <si>
    <t>DEDUCTIONS</t>
  </si>
  <si>
    <t>EPF (Employee 12%)</t>
  </si>
  <si>
    <t>ESI (Employee 0.75%)</t>
  </si>
  <si>
    <t>TDS (Income Tax)</t>
  </si>
  <si>
    <t>Advance / Others</t>
  </si>
  <si>
    <t>TOTAL DEDUCTIONS</t>
  </si>
  <si>
    <t>NET PAY (₹)</t>
  </si>
  <si>
    <t>NET PAY — Amount in Words: [Auto-calculated in full Excel version]</t>
  </si>
  <si>
    <t>EMPLOYER CONTRIBUTIONS (Not deducted from salary — for your information)</t>
  </si>
  <si>
    <t>EPF — Employer (12%)</t>
  </si>
  <si>
    <t>×12% (employer match)</t>
  </si>
  <si>
    <t>ESI — Employer (3.25%)</t>
  </si>
  <si>
    <t>×3.25% (if applicable)</t>
  </si>
  <si>
    <t>Employee Signature
___________________</t>
  </si>
  <si>
    <t>Authorised Signatory
___________________</t>
  </si>
  <si>
    <t>This is a computer-generated payslip. © camsroy.com  |  www.camsroy.com</t>
  </si>
  <si>
    <t>📊  camsroy.com  |  PAYROLL SUMMARY  —  Department-wise Cost &amp; Compliance Totals</t>
  </si>
  <si>
    <t>Auto-generated from Salary Register. Shows payroll cost by department, statutory liabilities, and net pay totals.</t>
  </si>
  <si>
    <t>🎯  PAYROLL KPI SNAPSHOT  —  April 2025</t>
  </si>
  <si>
    <t>KPI Metric</t>
  </si>
  <si>
    <t>Amount (₹)</t>
  </si>
  <si>
    <t>% of Gross</t>
  </si>
  <si>
    <t>Total Gross Payroll</t>
  </si>
  <si>
    <t>100.0%</t>
  </si>
  <si>
    <t>Total Net Pay</t>
  </si>
  <si>
    <t>Total EPF (Employee)</t>
  </si>
  <si>
    <t>Total ESI (Employee)</t>
  </si>
  <si>
    <t>Total Professional Tax</t>
  </si>
  <si>
    <t>Total TDS Deducted</t>
  </si>
  <si>
    <t>Total Deductions</t>
  </si>
  <si>
    <t>Total Headcount</t>
  </si>
  <si>
    <t>⚖  STATUTORY COMPLIANCE SUMMARY  —  Monthly Liability</t>
  </si>
  <si>
    <t>Statutory Component</t>
  </si>
  <si>
    <t>Employee (₹)</t>
  </si>
  <si>
    <t>Employer (₹)</t>
  </si>
  <si>
    <t>Total Liability (₹)</t>
  </si>
  <si>
    <t>Due Date</t>
  </si>
  <si>
    <t>Filing</t>
  </si>
  <si>
    <t>EPF (Provident Fund)</t>
  </si>
  <si>
    <t>15th of following month</t>
  </si>
  <si>
    <t>EPFO Portal</t>
  </si>
  <si>
    <t>ESI (Employee State Insurance)</t>
  </si>
  <si>
    <t>21st of following month</t>
  </si>
  <si>
    <t>ESIC Portal</t>
  </si>
  <si>
    <t>State-specific deadline</t>
  </si>
  <si>
    <t>State Portal</t>
  </si>
  <si>
    <t>TDS — Salary (Sec 192)</t>
  </si>
  <si>
    <t>7th of following month</t>
  </si>
  <si>
    <t>TRACES / IT Portal</t>
  </si>
  <si>
    <t>TOTAL MONTHLY STATUTORY LIABILITY</t>
  </si>
  <si>
    <t>🏢  DEPARTMENT-WISE PAYROLL COST</t>
  </si>
  <si>
    <t>Headcount</t>
  </si>
  <si>
    <t>Gross Payroll (₹)</t>
  </si>
  <si>
    <t>Net Pay (₹)</t>
  </si>
  <si>
    <t>EPF (₹)</t>
  </si>
  <si>
    <t>TDS (₹)</t>
  </si>
  <si>
    <t>Avg Net/Head (₹)</t>
  </si>
  <si>
    <t>TOTAL</t>
  </si>
  <si>
    <t>⚠  Employer EPF and ESI are informational — not deducted from employee salary. File EPF by 15th, ESI by 21st, TDS by 7th of following month.  |  © camsroy.com</t>
  </si>
  <si>
    <t>📊  camsroy.com  |  HOW TO USE  —  Payroll Management &amp; Salary Register Excel Template</t>
  </si>
  <si>
    <t>STEP-BY-STEP GUIDE</t>
  </si>
  <si>
    <t xml:space="preserve">  Step 1 — PAYROLL SETUP Sheet</t>
  </si>
  <si>
    <t xml:space="preserve">    Review statutory rates (EPF 12%, ESI 0.75%/3.25%, PT ₹200). Change HRA type (Metro/Non-Metro) in Section C row 32. All rates auto-flow to the Salary Register.</t>
  </si>
  <si>
    <t xml:space="preserve">  Step 2 — EMPLOYEE MASTER Sheet</t>
  </si>
  <si>
    <t xml:space="preserve">    Enter each employee's: ID, Name, Designation, Department, Date of Joining, Annual CTC. Basic, HRA, Special Allowance are pre-calculated at standard Indian salary split (45% Basic, 50% HRA-metro). Adjust individual cells for custom salary structures.</t>
  </si>
  <si>
    <t xml:space="preserve">  Step 3 — SALARY REGISTER Sheet</t>
  </si>
  <si>
    <t xml:space="preserve">    Each month, update: (1) Month/Year in cell E3. (2) Working days (col E) — usually 26. (3) Days Present (col F). (4) LWP days (col G). (5) TDS per employee (col S) based on annual tax projection. All salary components, EPF, ESI, PT auto-calculate.</t>
  </si>
  <si>
    <t xml:space="preserve">  Step 4 — PAYSLIP GENERATOR Sheet</t>
  </si>
  <si>
    <t xml:space="preserve">    Enter Employee ID in cell D2 (e.g. E001). The payslip auto-populates from the Salary Register — all earnings, deductions, and net pay. Print or save as PDF for distribution to employees.</t>
  </si>
  <si>
    <t xml:space="preserve">  Step 5 — PAYROLL SUMMARY Sheet</t>
  </si>
  <si>
    <t xml:space="preserve">    Review 9 KPI metrics (gross, net, EPF, ESI, PT, TDS), statutory compliance totals with due dates and filing portals, and department-wise payroll cost breakdown.</t>
  </si>
  <si>
    <t>STATUTORY RATES (FY 2025-26)</t>
  </si>
  <si>
    <t xml:space="preserve">    • EPF: 12% of Basic + DA (employee) | 12% employer [EPS 8.33% + EPF 3.67%]</t>
  </si>
  <si>
    <t xml:space="preserve">    • ESI: 0.75% employee + 3.25% employer — applicable only if Gross Salary ≤ ₹21,000</t>
  </si>
  <si>
    <t xml:space="preserve">    • Professional Tax: ₹200/month in Maharashtra if Gross &gt; ₹10,000 (varies by state)</t>
  </si>
  <si>
    <t xml:space="preserve">    • TDS: Under Section 192 — based on projected annual income and applicable slab rates</t>
  </si>
  <si>
    <t xml:space="preserve">    • HRA Exemption: 50% of Basic (Metro) / 40% of Basic (Non-Metro) — for tax computation</t>
  </si>
  <si>
    <t>COMPLIANCE DUE DATES</t>
  </si>
  <si>
    <t xml:space="preserve">    • EPF: 15th of following month | Portal: unifiedportal-emp.epfindia.gov.in</t>
  </si>
  <si>
    <t xml:space="preserve">    • ESI: 21st of following month | Portal: esic.in</t>
  </si>
  <si>
    <t xml:space="preserve">    • TDS (Salary): 7th of following month | Portal: tdscpc.gov.in / TRACES</t>
  </si>
  <si>
    <t xml:space="preserve">    • TDS Quarterly Return (Form 24Q): 31st July, 31st Oct, 31st Jan, 31st May</t>
  </si>
  <si>
    <t>CUSTOMISATION TIPS</t>
  </si>
  <si>
    <t xml:space="preserve">    • Add more employees: copy the last data row in Employee Master and Salary Register downward</t>
  </si>
  <si>
    <t xml:space="preserve">    • Change salary structure: edit Basic%, HRA% etc. in Employee Master for individual employees</t>
  </si>
  <si>
    <t xml:space="preserve">    • State-specific PT: update Professional Tax rate in Setup sheet B10 for your state</t>
  </si>
  <si>
    <t xml:space="preserve">    • Monthly archive: save a copy of the Salary Register tab as 'Apr-25_Register' each month</t>
  </si>
  <si>
    <t>MORE FREE TEMPLATES — camsroy.com</t>
  </si>
  <si>
    <t xml:space="preserve">    Visit www.camsroy.com/resources/templates for Budget vs Actual, AR &amp; AP Tracker, SME Dashboard, 13-Week Cash Flow and more.</t>
  </si>
  <si>
    <t>© 2025 camsroy.com  |  Free for personal and commercial use  |  www.camsroy.com  |  Not a substitute for professional payroll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</si>
</sst>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₹#,##0"/>
    <numFmt numFmtId="165" formatCode="0.0%"/>
  </numFmts>
  <fonts count="40" x14ac:knownFonts="1">
    <font>
      <sz val="11"/>
      <color theme="1"/>
      <name val="Calibri"/>
      <family val="2"/>
      <charset val="1"/>
    </font>
    <font>
      <b/>
      <sz val="22"/>
      <color rgb="FFFFFFFF"/>
      <name val="Arial"/>
      <charset val="1"/>
    </font>
    <font>
      <i/>
      <sz val="9"/>
      <color rgb="FFF3E5F5"/>
      <name val="Arial"/>
      <charset val="1"/>
    </font>
    <font>
      <b/>
      <sz val="24"/>
      <color rgb="FFFFFFFF"/>
      <name val="Arial"/>
      <charset val="1"/>
    </font>
    <font>
      <b/>
      <sz val="14"/>
      <color rgb="FFAED6F1"/>
      <name val="Arial"/>
      <charset val="1"/>
    </font>
    <font>
      <i/>
      <sz val="10"/>
      <color rgb="FFD7BDE2"/>
      <name val="Arial"/>
      <charset val="1"/>
    </font>
    <font>
      <sz val="10"/>
      <color rgb="FFAED6F1"/>
      <name val="Arial"/>
      <charset val="1"/>
    </font>
    <font>
      <b/>
      <sz val="10"/>
      <color rgb="FFFFFFFF"/>
      <name val="Arial"/>
      <charset val="1"/>
    </font>
    <font>
      <b/>
      <sz val="11"/>
      <color rgb="FFAED6F1"/>
      <name val="Arial"/>
      <charset val="1"/>
    </font>
    <font>
      <sz val="12"/>
      <color rgb="FFD4AC0D"/>
      <name val="Arial"/>
      <charset val="1"/>
    </font>
    <font>
      <sz val="9"/>
      <color rgb="FFBDC3C7"/>
      <name val="Arial"/>
      <charset val="1"/>
    </font>
    <font>
      <b/>
      <sz val="10"/>
      <color rgb="FFAED6F1"/>
      <name val="Arial"/>
      <charset val="1"/>
    </font>
    <font>
      <sz val="9"/>
      <color rgb="FFAED6F1"/>
      <name val="Arial"/>
      <charset val="1"/>
    </font>
    <font>
      <sz val="8"/>
      <color rgb="FF7F8C8D"/>
      <name val="Arial"/>
      <charset val="1"/>
    </font>
    <font>
      <b/>
      <sz val="12"/>
      <color rgb="FFFFFFFF"/>
      <name val="Arial"/>
      <charset val="1"/>
    </font>
    <font>
      <i/>
      <sz val="9"/>
      <color rgb="FF555555"/>
      <name val="Arial"/>
      <charset val="1"/>
    </font>
    <font>
      <b/>
      <sz val="9"/>
      <color rgb="FFFFFFFF"/>
      <name val="Arial"/>
      <charset val="1"/>
    </font>
    <font>
      <sz val="9"/>
      <color rgb="FF0D1B2A"/>
      <name val="Arial"/>
      <charset val="1"/>
    </font>
    <font>
      <sz val="9"/>
      <color rgb="FF1A237E"/>
      <name val="Arial"/>
      <charset val="1"/>
    </font>
    <font>
      <i/>
      <sz val="8"/>
      <color rgb="FF555555"/>
      <name val="Arial"/>
      <charset val="1"/>
    </font>
    <font>
      <sz val="8"/>
      <color rgb="FF888888"/>
      <name val="Arial"/>
      <charset val="1"/>
    </font>
    <font>
      <b/>
      <sz val="9"/>
      <color rgb="FF1A237E"/>
      <name val="Arial"/>
      <charset val="1"/>
    </font>
    <font>
      <i/>
      <sz val="8"/>
      <color rgb="FF1A5276"/>
      <name val="Arial"/>
      <charset val="1"/>
    </font>
    <font>
      <b/>
      <sz val="9"/>
      <color rgb="FF0D1B2A"/>
      <name val="Arial"/>
      <charset val="1"/>
    </font>
    <font>
      <b/>
      <sz val="11"/>
      <color rgb="FF0D1B2A"/>
      <name val="Arial"/>
      <charset val="1"/>
    </font>
    <font>
      <i/>
      <sz val="8"/>
      <color rgb="FF7D6608"/>
      <name val="Arial"/>
      <charset val="1"/>
    </font>
    <font>
      <b/>
      <sz val="9"/>
      <color rgb="FF155A40"/>
      <name val="Arial"/>
      <charset val="1"/>
    </font>
    <font>
      <b/>
      <sz val="9"/>
      <color rgb="FFA04000"/>
      <name val="Arial"/>
      <charset val="1"/>
    </font>
    <font>
      <b/>
      <sz val="11"/>
      <color rgb="FFFFFFFF"/>
      <name val="Arial"/>
      <charset val="1"/>
    </font>
    <font>
      <b/>
      <sz val="10"/>
      <color rgb="FF0D1B2A"/>
      <name val="Arial"/>
      <charset val="1"/>
    </font>
    <font>
      <b/>
      <sz val="12"/>
      <color rgb="FF6C3483"/>
      <name val="Arial"/>
      <charset val="1"/>
    </font>
    <font>
      <i/>
      <sz val="9"/>
      <color rgb="FF7D6608"/>
      <name val="Arial"/>
      <charset val="1"/>
    </font>
    <font>
      <b/>
      <sz val="14"/>
      <color rgb="FFFFFFFF"/>
      <name val="Arial"/>
      <charset val="1"/>
    </font>
    <font>
      <sz val="9"/>
      <color rgb="FF6C3483"/>
      <name val="Arial"/>
      <charset val="1"/>
    </font>
    <font>
      <i/>
      <sz val="8"/>
      <color rgb="FF888888"/>
      <name val="Arial"/>
      <charset val="1"/>
    </font>
    <font>
      <b/>
      <sz val="10"/>
      <color rgb="FF117A65"/>
      <name val="Arial"/>
      <charset val="1"/>
    </font>
    <font>
      <b/>
      <sz val="10"/>
      <color rgb="FF1B4F72"/>
      <name val="Arial"/>
      <charset val="1"/>
    </font>
    <font>
      <b/>
      <sz val="10"/>
      <color rgb="FF7D6608"/>
      <name val="Arial"/>
      <charset val="1"/>
    </font>
    <font>
      <b/>
      <sz val="10"/>
      <color rgb="FFA04000"/>
      <name val="Arial"/>
      <charset val="1"/>
    </font>
    <font>
      <sz val="8"/>
      <color rgb="FF0D1B2A"/>
      <name val="Arial"/>
      <charset val="1"/>
    </font>
  </fonts>
  <fills count="14">
    <fill>
      <patternFill patternType="none"/>
    </fill>
    <fill>
      <patternFill patternType="gray125"/>
    </fill>
    <fill>
      <patternFill patternType="solid">
        <fgColor rgb="FF0D1B2A"/>
        <bgColor rgb="FF000000"/>
      </patternFill>
    </fill>
    <fill>
      <patternFill patternType="solid">
        <fgColor rgb="FF6C3483"/>
        <bgColor rgb="FF993366"/>
      </patternFill>
    </fill>
    <fill>
      <patternFill patternType="solid">
        <fgColor rgb="FFF2F3F4"/>
        <bgColor rgb="FFF5EEF8"/>
      </patternFill>
    </fill>
    <fill>
      <patternFill patternType="solid">
        <fgColor rgb="FF1B4F72"/>
        <bgColor rgb="FF1A5276"/>
      </patternFill>
    </fill>
    <fill>
      <patternFill patternType="solid">
        <fgColor rgb="FFD6EAF8"/>
        <bgColor rgb="FFD5F5E3"/>
      </patternFill>
    </fill>
    <fill>
      <patternFill patternType="solid">
        <fgColor rgb="FF117A65"/>
        <bgColor rgb="FF008080"/>
      </patternFill>
    </fill>
    <fill>
      <patternFill patternType="solid">
        <fgColor rgb="FFFCF3CF"/>
        <bgColor rgb="FFFAE5D3"/>
      </patternFill>
    </fill>
    <fill>
      <patternFill patternType="solid">
        <fgColor rgb="FFD5F5E3"/>
        <bgColor rgb="FFD6EAF8"/>
      </patternFill>
    </fill>
    <fill>
      <patternFill patternType="solid">
        <fgColor rgb="FFD4AC0D"/>
        <bgColor rgb="FFFFCC00"/>
      </patternFill>
    </fill>
    <fill>
      <patternFill patternType="solid">
        <fgColor rgb="FFA04000"/>
        <bgColor rgb="FF7D6608"/>
      </patternFill>
    </fill>
    <fill>
      <patternFill patternType="solid">
        <fgColor rgb="FFFAE5D3"/>
        <bgColor rgb="FFFCF3CF"/>
      </patternFill>
    </fill>
    <fill>
      <patternFill patternType="solid">
        <fgColor rgb="FFF5EEF8"/>
        <bgColor rgb="FFF2F3F4"/>
      </patternFill>
    </fill>
  </fills>
  <borders count="5">
    <border>
      <left/>
      <right/>
      <top/>
      <bottom/>
      <diagonal/>
    </border>
    <border>
      <left/>
      <right/>
      <top/>
      <bottom style="thin">
        <color rgb="FF2E86C1"/>
      </bottom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thin">
        <color rgb="FFBDBDBD"/>
      </left>
      <right/>
      <top style="thin">
        <color rgb="FFBDBDBD"/>
      </top>
      <bottom style="thin">
        <color rgb="FFBDBDBD"/>
      </bottom>
      <diagonal/>
    </border>
    <border>
      <left/>
      <right/>
      <top/>
      <bottom style="medium">
        <color rgb="FF1B4F72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4" borderId="2" xfId="0" applyFill="1" applyBorder="1"/>
    <xf numFmtId="0" fontId="16" fillId="5" borderId="2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left" vertical="center" wrapText="1" indent="1"/>
    </xf>
    <xf numFmtId="10" fontId="18" fillId="6" borderId="2" xfId="0" applyNumberFormat="1" applyFont="1" applyFill="1" applyBorder="1" applyAlignment="1">
      <alignment horizontal="center" vertical="center" wrapText="1"/>
    </xf>
    <xf numFmtId="0" fontId="18" fillId="6" borderId="2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left" vertical="center" wrapText="1" indent="1"/>
    </xf>
    <xf numFmtId="0" fontId="20" fillId="4" borderId="2" xfId="0" applyFont="1" applyFill="1" applyBorder="1" applyAlignment="1">
      <alignment horizontal="center" vertical="center" wrapText="1"/>
    </xf>
    <xf numFmtId="3" fontId="18" fillId="6" borderId="2" xfId="0" applyNumberFormat="1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9" fontId="21" fillId="6" borderId="2" xfId="0" applyNumberFormat="1" applyFont="1" applyFill="1" applyBorder="1" applyAlignment="1">
      <alignment horizontal="center" vertical="center" wrapText="1"/>
    </xf>
    <xf numFmtId="0" fontId="21" fillId="6" borderId="2" xfId="0" applyFont="1" applyFill="1" applyBorder="1" applyAlignment="1">
      <alignment horizontal="center" vertical="center" wrapText="1"/>
    </xf>
    <xf numFmtId="3" fontId="18" fillId="6" borderId="2" xfId="0" applyNumberFormat="1" applyFont="1" applyFill="1" applyBorder="1" applyAlignment="1">
      <alignment horizontal="right" vertical="center"/>
    </xf>
    <xf numFmtId="9" fontId="18" fillId="6" borderId="2" xfId="0" applyNumberFormat="1" applyFont="1" applyFill="1" applyBorder="1" applyAlignment="1">
      <alignment horizontal="center" vertical="center" wrapText="1"/>
    </xf>
    <xf numFmtId="3" fontId="21" fillId="6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left" vertical="center" wrapText="1" indent="1"/>
    </xf>
    <xf numFmtId="0" fontId="18" fillId="9" borderId="2" xfId="0" applyFont="1" applyFill="1" applyBorder="1" applyAlignment="1">
      <alignment horizontal="left" vertical="center" wrapText="1" indent="1"/>
    </xf>
    <xf numFmtId="0" fontId="18" fillId="9" borderId="2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left" vertical="center" wrapText="1" indent="1"/>
    </xf>
    <xf numFmtId="0" fontId="18" fillId="4" borderId="2" xfId="0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right" vertical="center"/>
    </xf>
    <xf numFmtId="0" fontId="0" fillId="2" borderId="2" xfId="0" applyFill="1" applyBorder="1"/>
    <xf numFmtId="0" fontId="22" fillId="8" borderId="0" xfId="0" applyFont="1" applyFill="1" applyAlignment="1">
      <alignment horizontal="left" vertical="center" wrapText="1" indent="1"/>
    </xf>
    <xf numFmtId="0" fontId="19" fillId="4" borderId="0" xfId="0" applyFont="1" applyFill="1" applyAlignment="1">
      <alignment horizontal="left" vertical="center" wrapText="1" indent="1"/>
    </xf>
    <xf numFmtId="0" fontId="7" fillId="2" borderId="0" xfId="0" applyFont="1" applyFill="1" applyAlignment="1">
      <alignment horizontal="left" vertical="center" wrapText="1" indent="1"/>
    </xf>
    <xf numFmtId="0" fontId="0" fillId="4" borderId="2" xfId="0" applyFill="1" applyBorder="1"/>
    <xf numFmtId="0" fontId="14" fillId="2" borderId="0" xfId="0" applyFont="1" applyFill="1" applyAlignment="1">
      <alignment horizontal="left" vertical="center" wrapText="1" indent="1"/>
    </xf>
    <xf numFmtId="0" fontId="15" fillId="4" borderId="0" xfId="0" applyFont="1" applyFill="1" applyAlignment="1">
      <alignment horizontal="left" vertical="center" wrapText="1" indent="1"/>
    </xf>
    <xf numFmtId="0" fontId="7" fillId="5" borderId="0" xfId="0" applyFont="1" applyFill="1" applyAlignment="1">
      <alignment horizontal="left" vertical="center" wrapText="1" indent="1"/>
    </xf>
    <xf numFmtId="0" fontId="7" fillId="7" borderId="0" xfId="0" applyFont="1" applyFill="1" applyAlignment="1">
      <alignment horizontal="left" vertical="center" wrapText="1" indent="1"/>
    </xf>
    <xf numFmtId="0" fontId="34" fillId="4" borderId="0" xfId="0" applyFont="1" applyFill="1" applyAlignment="1">
      <alignment horizontal="center" vertical="center" wrapText="1"/>
    </xf>
    <xf numFmtId="0" fontId="17" fillId="4" borderId="0" xfId="0" applyFont="1" applyFill="1" applyAlignment="1">
      <alignment horizontal="left" vertical="center" wrapText="1" indent="2"/>
    </xf>
    <xf numFmtId="0" fontId="29" fillId="4" borderId="4" xfId="0" applyFont="1" applyFill="1" applyBorder="1" applyAlignment="1">
      <alignment horizontal="left" vertical="center" wrapText="1" indent="1"/>
    </xf>
    <xf numFmtId="0" fontId="0" fillId="0" borderId="0" xfId="0" applyProtection="1">
      <protection locked="0"/>
    </xf>
    <xf numFmtId="0" fontId="15" fillId="4" borderId="0" xfId="0" applyFont="1" applyFill="1" applyAlignment="1" applyProtection="1">
      <alignment horizontal="left" vertical="center" wrapText="1" indent="1"/>
      <protection locked="0"/>
    </xf>
    <xf numFmtId="0" fontId="7" fillId="5" borderId="0" xfId="0" applyFont="1" applyFill="1" applyAlignment="1" applyProtection="1">
      <alignment horizontal="left" vertical="center" wrapText="1" indent="1"/>
      <protection locked="0"/>
    </xf>
    <xf numFmtId="0" fontId="16" fillId="5" borderId="2" xfId="0" applyFont="1" applyFill="1" applyBorder="1" applyAlignment="1" applyProtection="1">
      <alignment horizontal="center" vertical="center" wrapText="1"/>
      <protection locked="0"/>
    </xf>
    <xf numFmtId="0" fontId="17" fillId="4" borderId="2" xfId="0" applyFont="1" applyFill="1" applyBorder="1" applyAlignment="1" applyProtection="1">
      <alignment horizontal="left" vertical="center" wrapText="1" indent="1"/>
      <protection locked="0"/>
    </xf>
    <xf numFmtId="3" fontId="35" fillId="9" borderId="2" xfId="0" applyNumberFormat="1" applyFont="1" applyFill="1" applyBorder="1" applyAlignment="1" applyProtection="1">
      <alignment horizontal="right" vertical="center"/>
      <protection locked="0"/>
    </xf>
    <xf numFmtId="165" fontId="17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3" xfId="0" applyFill="1" applyBorder="1" applyProtection="1">
      <protection locked="0"/>
    </xf>
    <xf numFmtId="3" fontId="36" fillId="6" borderId="2" xfId="0" applyNumberFormat="1" applyFont="1" applyFill="1" applyBorder="1" applyAlignment="1" applyProtection="1">
      <alignment horizontal="right" vertical="center"/>
      <protection locked="0"/>
    </xf>
    <xf numFmtId="3" fontId="37" fillId="8" borderId="2" xfId="0" applyNumberFormat="1" applyFont="1" applyFill="1" applyBorder="1" applyAlignment="1" applyProtection="1">
      <alignment horizontal="right" vertical="center"/>
      <protection locked="0"/>
    </xf>
    <xf numFmtId="3" fontId="38" fillId="12" borderId="2" xfId="0" applyNumberFormat="1" applyFont="1" applyFill="1" applyBorder="1" applyAlignment="1" applyProtection="1">
      <alignment horizontal="right" vertical="center"/>
      <protection locked="0"/>
    </xf>
    <xf numFmtId="1" fontId="23" fillId="4" borderId="2" xfId="0" applyNumberFormat="1" applyFont="1" applyFill="1" applyBorder="1" applyAlignment="1" applyProtection="1">
      <alignment horizontal="right" vertical="center"/>
      <protection locked="0"/>
    </xf>
    <xf numFmtId="0" fontId="7" fillId="11" borderId="0" xfId="0" applyFont="1" applyFill="1" applyAlignment="1" applyProtection="1">
      <alignment horizontal="left" vertical="center" wrapText="1" indent="1"/>
      <protection locked="0"/>
    </xf>
    <xf numFmtId="3" fontId="23" fillId="12" borderId="2" xfId="0" applyNumberFormat="1" applyFont="1" applyFill="1" applyBorder="1" applyAlignment="1" applyProtection="1">
      <alignment horizontal="right" vertical="center"/>
      <protection locked="0"/>
    </xf>
    <xf numFmtId="3" fontId="16" fillId="11" borderId="2" xfId="0" applyNumberFormat="1" applyFont="1" applyFill="1" applyBorder="1" applyAlignment="1" applyProtection="1">
      <alignment horizontal="right" vertical="center"/>
      <protection locked="0"/>
    </xf>
    <xf numFmtId="0" fontId="39" fillId="8" borderId="2" xfId="0" applyFont="1" applyFill="1" applyBorder="1" applyAlignment="1" applyProtection="1">
      <alignment horizontal="center" vertical="center" wrapText="1"/>
      <protection locked="0"/>
    </xf>
    <xf numFmtId="0" fontId="39" fillId="4" borderId="2" xfId="0" applyFont="1" applyFill="1" applyBorder="1" applyAlignment="1" applyProtection="1">
      <alignment horizontal="center" vertical="center" wrapText="1"/>
      <protection locked="0"/>
    </xf>
    <xf numFmtId="0" fontId="0" fillId="4" borderId="2" xfId="0" applyFill="1" applyBorder="1" applyProtection="1">
      <protection locked="0"/>
    </xf>
    <xf numFmtId="0" fontId="7" fillId="2" borderId="2" xfId="0" applyFont="1" applyFill="1" applyBorder="1" applyAlignment="1" applyProtection="1">
      <alignment horizontal="left" vertical="center" wrapText="1" indent="1"/>
      <protection locked="0"/>
    </xf>
    <xf numFmtId="3" fontId="7" fillId="2" borderId="2" xfId="0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17" fillId="9" borderId="2" xfId="0" applyFont="1" applyFill="1" applyBorder="1" applyAlignment="1" applyProtection="1">
      <alignment horizontal="left" vertical="center" wrapText="1" indent="1"/>
      <protection locked="0"/>
    </xf>
    <xf numFmtId="1" fontId="17" fillId="9" borderId="2" xfId="0" applyNumberFormat="1" applyFont="1" applyFill="1" applyBorder="1" applyAlignment="1" applyProtection="1">
      <alignment horizontal="center" vertical="center"/>
      <protection locked="0"/>
    </xf>
    <xf numFmtId="3" fontId="17" fillId="9" borderId="2" xfId="0" applyNumberFormat="1" applyFont="1" applyFill="1" applyBorder="1" applyAlignment="1" applyProtection="1">
      <alignment horizontal="right" vertical="center"/>
      <protection locked="0"/>
    </xf>
    <xf numFmtId="3" fontId="23" fillId="9" borderId="2" xfId="0" applyNumberFormat="1" applyFont="1" applyFill="1" applyBorder="1" applyAlignment="1" applyProtection="1">
      <alignment horizontal="right" vertical="center"/>
      <protection locked="0"/>
    </xf>
    <xf numFmtId="1" fontId="17" fillId="4" borderId="2" xfId="0" applyNumberFormat="1" applyFont="1" applyFill="1" applyBorder="1" applyAlignment="1" applyProtection="1">
      <alignment horizontal="center" vertical="center"/>
      <protection locked="0"/>
    </xf>
    <xf numFmtId="3" fontId="17" fillId="4" borderId="2" xfId="0" applyNumberFormat="1" applyFont="1" applyFill="1" applyBorder="1" applyAlignment="1" applyProtection="1">
      <alignment horizontal="right" vertical="center"/>
      <protection locked="0"/>
    </xf>
    <xf numFmtId="3" fontId="23" fillId="4" borderId="2" xfId="0" applyNumberFormat="1" applyFont="1" applyFill="1" applyBorder="1" applyAlignment="1" applyProtection="1">
      <alignment horizontal="right" vertical="center"/>
      <protection locked="0"/>
    </xf>
    <xf numFmtId="0" fontId="19" fillId="4" borderId="0" xfId="0" applyFont="1" applyFill="1" applyAlignment="1" applyProtection="1">
      <alignment horizontal="left" vertical="center" wrapText="1" indent="1"/>
      <protection locked="0"/>
    </xf>
    <xf numFmtId="0" fontId="14" fillId="2" borderId="0" xfId="0" applyFont="1" applyFill="1" applyAlignment="1" applyProtection="1">
      <alignment horizontal="left" vertical="center" wrapText="1" indent="1"/>
    </xf>
    <xf numFmtId="0" fontId="29" fillId="8" borderId="3" xfId="0" applyFont="1" applyFill="1" applyBorder="1" applyAlignment="1" applyProtection="1">
      <alignment horizontal="left" vertical="center" wrapText="1" indent="1"/>
      <protection locked="0"/>
    </xf>
    <xf numFmtId="0" fontId="30" fillId="10" borderId="2" xfId="0" applyFont="1" applyFill="1" applyBorder="1" applyAlignment="1" applyProtection="1">
      <alignment horizontal="center" vertical="center" wrapText="1"/>
      <protection locked="0"/>
    </xf>
    <xf numFmtId="0" fontId="31" fillId="8" borderId="0" xfId="0" applyFont="1" applyFill="1" applyAlignment="1" applyProtection="1">
      <alignment horizontal="left" vertical="center" wrapText="1" indent="1"/>
      <protection locked="0"/>
    </xf>
    <xf numFmtId="0" fontId="7" fillId="2" borderId="0" xfId="0" applyFont="1" applyFill="1" applyAlignment="1" applyProtection="1">
      <alignment horizontal="center" vertical="center" wrapText="1"/>
      <protection locked="0"/>
    </xf>
    <xf numFmtId="0" fontId="15" fillId="4" borderId="0" xfId="0" applyFont="1" applyFill="1" applyAlignment="1" applyProtection="1">
      <alignment horizontal="center" vertical="center" wrapText="1"/>
      <protection locked="0"/>
    </xf>
    <xf numFmtId="0" fontId="28" fillId="3" borderId="0" xfId="0" applyFont="1" applyFill="1" applyAlignment="1" applyProtection="1">
      <alignment horizontal="center" vertical="center" wrapText="1"/>
      <protection locked="0"/>
    </xf>
    <xf numFmtId="0" fontId="7" fillId="5" borderId="0" xfId="0" applyFont="1" applyFill="1" applyAlignment="1" applyProtection="1">
      <alignment horizontal="center" vertical="center" wrapText="1"/>
      <protection locked="0"/>
    </xf>
    <xf numFmtId="0" fontId="23" fillId="6" borderId="2" xfId="0" applyFont="1" applyFill="1" applyBorder="1" applyAlignment="1" applyProtection="1">
      <alignment horizontal="left" vertical="center" wrapText="1" indent="1"/>
      <protection locked="0"/>
    </xf>
    <xf numFmtId="1" fontId="17" fillId="4" borderId="2" xfId="0" applyNumberFormat="1" applyFont="1" applyFill="1" applyBorder="1" applyAlignment="1" applyProtection="1">
      <alignment horizontal="right" vertical="center"/>
      <protection locked="0"/>
    </xf>
    <xf numFmtId="0" fontId="7" fillId="7" borderId="0" xfId="0" applyFont="1" applyFill="1" applyAlignment="1" applyProtection="1">
      <alignment horizontal="center" vertical="center" wrapText="1"/>
      <protection locked="0"/>
    </xf>
    <xf numFmtId="0" fontId="17" fillId="4" borderId="3" xfId="0" applyFont="1" applyFill="1" applyBorder="1" applyAlignment="1" applyProtection="1">
      <alignment horizontal="left" vertical="center" wrapText="1" indent="1"/>
      <protection locked="0"/>
    </xf>
    <xf numFmtId="3" fontId="17" fillId="6" borderId="3" xfId="0" applyNumberFormat="1" applyFont="1" applyFill="1" applyBorder="1" applyAlignment="1" applyProtection="1">
      <alignment horizontal="right" vertical="center"/>
      <protection locked="0"/>
    </xf>
    <xf numFmtId="0" fontId="23" fillId="9" borderId="3" xfId="0" applyFont="1" applyFill="1" applyBorder="1" applyAlignment="1" applyProtection="1">
      <alignment horizontal="left" vertical="center" wrapText="1" indent="1"/>
      <protection locked="0"/>
    </xf>
    <xf numFmtId="3" fontId="16" fillId="7" borderId="3" xfId="0" applyNumberFormat="1" applyFont="1" applyFill="1" applyBorder="1" applyAlignment="1" applyProtection="1">
      <alignment horizontal="right" vertical="center"/>
      <protection locked="0"/>
    </xf>
    <xf numFmtId="0" fontId="7" fillId="11" borderId="0" xfId="0" applyFont="1" applyFill="1" applyAlignment="1" applyProtection="1">
      <alignment horizontal="center" vertical="center" wrapText="1"/>
      <protection locked="0"/>
    </xf>
    <xf numFmtId="164" fontId="14" fillId="2" borderId="2" xfId="0" applyNumberFormat="1" applyFont="1" applyFill="1" applyBorder="1" applyAlignment="1" applyProtection="1">
      <alignment horizontal="left" vertical="center" indent="1"/>
      <protection locked="0"/>
    </xf>
    <xf numFmtId="3" fontId="32" fillId="7" borderId="2" xfId="0" applyNumberFormat="1" applyFont="1" applyFill="1" applyBorder="1" applyAlignment="1" applyProtection="1">
      <alignment horizontal="right" vertical="center"/>
      <protection locked="0"/>
    </xf>
    <xf numFmtId="0" fontId="7" fillId="3" borderId="0" xfId="0" applyFont="1" applyFill="1" applyAlignment="1" applyProtection="1">
      <alignment horizontal="center" vertical="center" wrapText="1"/>
      <protection locked="0"/>
    </xf>
    <xf numFmtId="0" fontId="17" fillId="13" borderId="2" xfId="0" applyFont="1" applyFill="1" applyBorder="1" applyAlignment="1" applyProtection="1">
      <alignment horizontal="left" vertical="center" wrapText="1" indent="1"/>
      <protection locked="0"/>
    </xf>
    <xf numFmtId="3" fontId="33" fillId="13" borderId="2" xfId="0" applyNumberFormat="1" applyFont="1" applyFill="1" applyBorder="1" applyAlignment="1" applyProtection="1">
      <alignment horizontal="right" vertical="center"/>
      <protection locked="0"/>
    </xf>
    <xf numFmtId="0" fontId="19" fillId="13" borderId="2" xfId="0" applyFont="1" applyFill="1" applyBorder="1" applyAlignment="1" applyProtection="1">
      <alignment horizontal="left" vertical="center" wrapText="1" indent="1"/>
      <protection locked="0"/>
    </xf>
    <xf numFmtId="0" fontId="0" fillId="13" borderId="2" xfId="0" applyFill="1" applyBorder="1" applyProtection="1">
      <protection locked="0"/>
    </xf>
    <xf numFmtId="0" fontId="17" fillId="4" borderId="0" xfId="0" applyFont="1" applyFill="1" applyAlignment="1" applyProtection="1">
      <alignment horizontal="center" vertical="center" wrapText="1"/>
      <protection locked="0"/>
    </xf>
    <xf numFmtId="0" fontId="34" fillId="4" borderId="0" xfId="0" applyFont="1" applyFill="1" applyAlignment="1" applyProtection="1">
      <alignment horizontal="center" vertical="center" wrapText="1"/>
      <protection locked="0"/>
    </xf>
    <xf numFmtId="0" fontId="28" fillId="2" borderId="0" xfId="0" applyFont="1" applyFill="1" applyAlignment="1" applyProtection="1">
      <alignment horizontal="left" vertical="center" wrapText="1" indent="1"/>
    </xf>
    <xf numFmtId="0" fontId="23" fillId="8" borderId="3" xfId="0" applyFont="1" applyFill="1" applyBorder="1" applyAlignment="1" applyProtection="1">
      <alignment horizontal="left" vertical="center" wrapText="1" indent="1"/>
      <protection locked="0"/>
    </xf>
    <xf numFmtId="0" fontId="24" fillId="10" borderId="2" xfId="0" applyFont="1" applyFill="1" applyBorder="1" applyAlignment="1" applyProtection="1">
      <alignment horizontal="center" vertical="center" wrapText="1"/>
      <protection locked="0"/>
    </xf>
    <xf numFmtId="0" fontId="25" fillId="8" borderId="0" xfId="0" applyFont="1" applyFill="1" applyAlignment="1" applyProtection="1">
      <alignment horizontal="left" vertical="center" wrapText="1" indent="1"/>
      <protection locked="0"/>
    </xf>
    <xf numFmtId="0" fontId="7" fillId="7" borderId="0" xfId="0" applyFont="1" applyFill="1" applyAlignment="1" applyProtection="1">
      <alignment horizontal="left" vertical="center" wrapText="1" indent="1"/>
      <protection locked="0"/>
    </xf>
    <xf numFmtId="0" fontId="16" fillId="2" borderId="2" xfId="0" applyFont="1" applyFill="1" applyBorder="1" applyAlignment="1" applyProtection="1">
      <alignment horizontal="center" vertical="center" wrapText="1"/>
      <protection locked="0"/>
    </xf>
    <xf numFmtId="0" fontId="17" fillId="9" borderId="2" xfId="0" applyFont="1" applyFill="1" applyBorder="1" applyAlignment="1" applyProtection="1">
      <alignment horizontal="center" vertical="center" wrapText="1"/>
      <protection locked="0"/>
    </xf>
    <xf numFmtId="1" fontId="18" fillId="6" borderId="2" xfId="0" applyNumberFormat="1" applyFont="1" applyFill="1" applyBorder="1" applyAlignment="1" applyProtection="1">
      <alignment horizontal="center" vertical="center" wrapText="1"/>
      <protection locked="0"/>
    </xf>
    <xf numFmtId="3" fontId="26" fillId="9" borderId="2" xfId="0" applyNumberFormat="1" applyFont="1" applyFill="1" applyBorder="1" applyAlignment="1" applyProtection="1">
      <alignment horizontal="right" vertical="center"/>
      <protection locked="0"/>
    </xf>
    <xf numFmtId="3" fontId="17" fillId="12" borderId="2" xfId="0" applyNumberFormat="1" applyFont="1" applyFill="1" applyBorder="1" applyAlignment="1" applyProtection="1">
      <alignment horizontal="right" vertical="center"/>
      <protection locked="0"/>
    </xf>
    <xf numFmtId="3" fontId="18" fillId="6" borderId="2" xfId="0" applyNumberFormat="1" applyFont="1" applyFill="1" applyBorder="1" applyAlignment="1" applyProtection="1">
      <alignment horizontal="right" vertical="center"/>
      <protection locked="0"/>
    </xf>
    <xf numFmtId="3" fontId="27" fillId="12" borderId="2" xfId="0" applyNumberFormat="1" applyFont="1" applyFill="1" applyBorder="1" applyAlignment="1" applyProtection="1">
      <alignment horizontal="right" vertical="center"/>
      <protection locked="0"/>
    </xf>
    <xf numFmtId="3" fontId="7" fillId="7" borderId="2" xfId="0" applyNumberFormat="1" applyFont="1" applyFill="1" applyBorder="1" applyAlignment="1" applyProtection="1">
      <alignment horizontal="right" vertical="center"/>
      <protection locked="0"/>
    </xf>
    <xf numFmtId="0" fontId="17" fillId="4" borderId="2" xfId="0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Alignment="1" applyProtection="1">
      <alignment horizontal="left" vertical="center" wrapText="1" indent="1"/>
      <protection locked="0"/>
    </xf>
    <xf numFmtId="0" fontId="14" fillId="2" borderId="0" xfId="0" applyFont="1" applyFill="1" applyAlignment="1" applyProtection="1">
      <alignment horizontal="left" vertical="center" wrapText="1"/>
    </xf>
    <xf numFmtId="0" fontId="0" fillId="2" borderId="0" xfId="0" applyFill="1" applyProtection="1">
      <protection locked="0"/>
    </xf>
    <xf numFmtId="0" fontId="0" fillId="3" borderId="0" xfId="0" applyFill="1" applyProtection="1">
      <protection locked="0"/>
    </xf>
    <xf numFmtId="0" fontId="6" fillId="2" borderId="0" xfId="0" applyFont="1" applyFill="1" applyAlignment="1" applyProtection="1">
      <alignment horizontal="left" vertical="center" wrapText="1" indent="1"/>
      <protection locked="0"/>
    </xf>
    <xf numFmtId="0" fontId="7" fillId="2" borderId="1" xfId="0" applyFont="1" applyFill="1" applyBorder="1" applyAlignment="1" applyProtection="1">
      <alignment horizontal="left" vertical="center" wrapText="1" indent="1"/>
      <protection locked="0"/>
    </xf>
    <xf numFmtId="17" fontId="7" fillId="2" borderId="1" xfId="0" applyNumberFormat="1" applyFont="1" applyFill="1" applyBorder="1" applyAlignment="1" applyProtection="1">
      <alignment horizontal="left" vertical="center" wrapText="1" indent="1"/>
      <protection locked="0"/>
    </xf>
    <xf numFmtId="0" fontId="8" fillId="2" borderId="0" xfId="0" applyFont="1" applyFill="1" applyAlignment="1" applyProtection="1">
      <alignment horizontal="left" vertical="center" wrapText="1"/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10" fillId="2" borderId="0" xfId="0" applyFont="1" applyFill="1" applyAlignment="1" applyProtection="1">
      <alignment horizontal="left" vertical="center" wrapText="1" indent="1"/>
      <protection locked="0"/>
    </xf>
    <xf numFmtId="0" fontId="11" fillId="2" borderId="0" xfId="0" applyFont="1" applyFill="1" applyAlignment="1" applyProtection="1">
      <alignment horizontal="left" vertical="center" wrapText="1"/>
      <protection locked="0"/>
    </xf>
    <xf numFmtId="0" fontId="12" fillId="2" borderId="0" xfId="0" applyFont="1" applyFill="1" applyAlignment="1" applyProtection="1">
      <alignment horizontal="left" vertical="center" wrapText="1" indent="1"/>
      <protection locked="0"/>
    </xf>
    <xf numFmtId="0" fontId="13" fillId="2" borderId="0" xfId="0" applyFont="1" applyFill="1" applyAlignment="1" applyProtection="1">
      <alignment horizontal="center" vertical="center" wrapText="1"/>
      <protection locked="0"/>
    </xf>
    <xf numFmtId="0" fontId="0" fillId="2" borderId="0" xfId="0" applyFill="1" applyProtection="1"/>
    <xf numFmtId="0" fontId="1" fillId="2" borderId="0" xfId="0" applyFont="1" applyFill="1" applyAlignment="1" applyProtection="1">
      <alignment horizontal="center" vertical="center" wrapText="1"/>
    </xf>
    <xf numFmtId="0" fontId="2" fillId="3" borderId="0" xfId="0" applyFont="1" applyFill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 wrapText="1"/>
    </xf>
    <xf numFmtId="0" fontId="4" fillId="2" borderId="0" xfId="0" applyFont="1" applyFill="1" applyAlignment="1" applyProtection="1">
      <alignment horizontal="center" vertical="center" wrapText="1"/>
    </xf>
    <xf numFmtId="0" fontId="5" fillId="2" borderId="0" xfId="0" applyFont="1" applyFill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D6608"/>
      <rgbColor rgb="FF800080"/>
      <rgbColor rgb="FF117A65"/>
      <rgbColor rgb="FFBDBDBD"/>
      <rgbColor rgb="FF888888"/>
      <rgbColor rgb="FF9999FF"/>
      <rgbColor rgb="FF6C3483"/>
      <rgbColor rgb="FFFCF3CF"/>
      <rgbColor rgb="FFD6EAF8"/>
      <rgbColor rgb="FF660066"/>
      <rgbColor rgb="FFFF8080"/>
      <rgbColor rgb="FF1A5276"/>
      <rgbColor rgb="FFD7BDE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2F3F4"/>
      <rgbColor rgb="FFD5F5E3"/>
      <rgbColor rgb="FFF5EEF8"/>
      <rgbColor rgb="FFAED6F1"/>
      <rgbColor rgb="FFF3E5F5"/>
      <rgbColor rgb="FFBDC3C7"/>
      <rgbColor rgb="FFFAE5D3"/>
      <rgbColor rgb="FF2E86C1"/>
      <rgbColor rgb="FF33CCCC"/>
      <rgbColor rgb="FF99CC00"/>
      <rgbColor rgb="FFFFCC00"/>
      <rgbColor rgb="FFD4AC0D"/>
      <rgbColor rgb="FFFF6600"/>
      <rgbColor rgb="FF555555"/>
      <rgbColor rgb="FF7F8C8D"/>
      <rgbColor rgb="FF1A237E"/>
      <rgbColor rgb="FF339966"/>
      <rgbColor rgb="FF0D1B2A"/>
      <rgbColor rgb="FF333300"/>
      <rgbColor rgb="FFA04000"/>
      <rgbColor rgb="FF993366"/>
      <rgbColor rgb="FF1B4F72"/>
      <rgbColor rgb="FF155A4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1B2A"/>
  </sheetPr>
  <dimension ref="A1:G54"/>
  <sheetViews>
    <sheetView tabSelected="1" zoomScaleNormal="100" workbookViewId="0">
      <selection activeCell="B1" sqref="A1:G12"/>
    </sheetView>
  </sheetViews>
  <sheetFormatPr defaultColWidth="8.7109375" defaultRowHeight="15" x14ac:dyDescent="0.25"/>
  <cols>
    <col min="1" max="1" width="4.28515625" style="35" customWidth="1"/>
    <col min="2" max="2" width="25.140625" style="35" customWidth="1"/>
    <col min="3" max="3" width="49.28515625" style="35" customWidth="1"/>
    <col min="4" max="4" width="7.42578125" style="35" customWidth="1"/>
    <col min="5" max="16384" width="8.7109375" style="35"/>
  </cols>
  <sheetData>
    <row r="1" spans="1:7" ht="18" customHeight="1" x14ac:dyDescent="0.25">
      <c r="A1" s="116"/>
      <c r="B1" s="116"/>
      <c r="C1" s="116"/>
      <c r="D1" s="116"/>
      <c r="E1" s="116"/>
      <c r="F1" s="116"/>
      <c r="G1" s="116"/>
    </row>
    <row r="2" spans="1:7" ht="31.5" customHeight="1" x14ac:dyDescent="0.25">
      <c r="A2" s="117" t="s">
        <v>0</v>
      </c>
      <c r="B2" s="117"/>
      <c r="C2" s="117"/>
      <c r="D2" s="117"/>
      <c r="E2" s="117"/>
      <c r="F2" s="117"/>
      <c r="G2" s="117"/>
    </row>
    <row r="3" spans="1:7" ht="27.75" customHeight="1" x14ac:dyDescent="0.25">
      <c r="A3" s="117"/>
      <c r="B3" s="117"/>
      <c r="C3" s="117"/>
      <c r="D3" s="117"/>
      <c r="E3" s="117"/>
      <c r="F3" s="117"/>
      <c r="G3" s="117"/>
    </row>
    <row r="4" spans="1:7" ht="18" customHeight="1" x14ac:dyDescent="0.25">
      <c r="A4" s="118" t="s">
        <v>1</v>
      </c>
      <c r="B4" s="118"/>
      <c r="C4" s="118"/>
      <c r="D4" s="118"/>
      <c r="E4" s="118"/>
      <c r="F4" s="118"/>
      <c r="G4" s="118"/>
    </row>
    <row r="5" spans="1:7" ht="18" customHeight="1" x14ac:dyDescent="0.25">
      <c r="A5" s="118"/>
      <c r="B5" s="118"/>
      <c r="C5" s="118"/>
      <c r="D5" s="118"/>
      <c r="E5" s="118"/>
      <c r="F5" s="118"/>
      <c r="G5" s="118"/>
    </row>
    <row r="6" spans="1:7" ht="18" customHeight="1" x14ac:dyDescent="0.25">
      <c r="A6" s="116"/>
      <c r="B6" s="116"/>
      <c r="C6" s="116"/>
      <c r="D6" s="116"/>
      <c r="E6" s="116"/>
      <c r="F6" s="116"/>
      <c r="G6" s="116"/>
    </row>
    <row r="7" spans="1:7" ht="7.5" customHeight="1" x14ac:dyDescent="0.25">
      <c r="A7" s="116"/>
      <c r="B7" s="116"/>
      <c r="C7" s="116"/>
      <c r="D7" s="116"/>
      <c r="E7" s="116"/>
      <c r="F7" s="116"/>
      <c r="G7" s="116"/>
    </row>
    <row r="8" spans="1:7" ht="33.75" customHeight="1" x14ac:dyDescent="0.25">
      <c r="A8" s="119" t="s">
        <v>2</v>
      </c>
      <c r="B8" s="119"/>
      <c r="C8" s="119"/>
      <c r="D8" s="119"/>
      <c r="E8" s="119"/>
      <c r="F8" s="119"/>
      <c r="G8" s="119"/>
    </row>
    <row r="9" spans="1:7" ht="27.75" customHeight="1" x14ac:dyDescent="0.25">
      <c r="A9" s="119"/>
      <c r="B9" s="119"/>
      <c r="C9" s="119"/>
      <c r="D9" s="119"/>
      <c r="E9" s="119"/>
      <c r="F9" s="119"/>
      <c r="G9" s="119"/>
    </row>
    <row r="10" spans="1:7" ht="21.75" customHeight="1" x14ac:dyDescent="0.25">
      <c r="A10" s="120" t="s">
        <v>3</v>
      </c>
      <c r="B10" s="120"/>
      <c r="C10" s="120"/>
      <c r="D10" s="120"/>
      <c r="E10" s="120"/>
      <c r="F10" s="120"/>
      <c r="G10" s="120"/>
    </row>
    <row r="11" spans="1:7" ht="18" customHeight="1" x14ac:dyDescent="0.25">
      <c r="A11" s="121" t="s">
        <v>4</v>
      </c>
      <c r="B11" s="121"/>
      <c r="C11" s="121"/>
      <c r="D11" s="121"/>
      <c r="E11" s="121"/>
      <c r="F11" s="121"/>
      <c r="G11" s="121"/>
    </row>
    <row r="12" spans="1:7" ht="18" customHeight="1" x14ac:dyDescent="0.25">
      <c r="A12" s="116"/>
      <c r="B12" s="116"/>
      <c r="C12" s="116"/>
      <c r="D12" s="116"/>
      <c r="E12" s="116"/>
      <c r="F12" s="116"/>
      <c r="G12" s="116"/>
    </row>
    <row r="13" spans="1:7" ht="3" customHeight="1" x14ac:dyDescent="0.25">
      <c r="A13" s="105"/>
      <c r="B13" s="106"/>
      <c r="C13" s="106"/>
      <c r="D13" s="106"/>
      <c r="E13" s="105"/>
      <c r="F13" s="105"/>
      <c r="G13" s="105"/>
    </row>
    <row r="14" spans="1:7" ht="18" customHeight="1" x14ac:dyDescent="0.25">
      <c r="A14" s="105"/>
      <c r="B14" s="105"/>
      <c r="C14" s="105"/>
      <c r="D14" s="105"/>
      <c r="E14" s="105"/>
      <c r="F14" s="105"/>
      <c r="G14" s="105"/>
    </row>
    <row r="15" spans="1:7" ht="21.75" customHeight="1" x14ac:dyDescent="0.25">
      <c r="A15" s="105"/>
      <c r="B15" s="107" t="s">
        <v>5</v>
      </c>
      <c r="C15" s="108" t="s">
        <v>6</v>
      </c>
      <c r="D15" s="105"/>
      <c r="E15" s="105"/>
      <c r="F15" s="105"/>
      <c r="G15" s="105"/>
    </row>
    <row r="16" spans="1:7" ht="21.75" customHeight="1" x14ac:dyDescent="0.25">
      <c r="A16" s="105"/>
      <c r="B16" s="107" t="s">
        <v>7</v>
      </c>
      <c r="C16" s="109">
        <v>46113</v>
      </c>
      <c r="D16" s="105"/>
      <c r="E16" s="105"/>
      <c r="F16" s="105"/>
      <c r="G16" s="105"/>
    </row>
    <row r="17" spans="1:7" ht="21.75" customHeight="1" x14ac:dyDescent="0.25">
      <c r="A17" s="105"/>
      <c r="B17" s="107" t="s">
        <v>9</v>
      </c>
      <c r="C17" s="108" t="s">
        <v>10</v>
      </c>
      <c r="D17" s="105"/>
      <c r="E17" s="105"/>
      <c r="F17" s="105"/>
      <c r="G17" s="105"/>
    </row>
    <row r="18" spans="1:7" ht="21.75" customHeight="1" x14ac:dyDescent="0.25">
      <c r="A18" s="105"/>
      <c r="B18" s="107" t="s">
        <v>11</v>
      </c>
      <c r="C18" s="108" t="s">
        <v>12</v>
      </c>
      <c r="D18" s="105"/>
      <c r="E18" s="105"/>
      <c r="F18" s="105"/>
      <c r="G18" s="105"/>
    </row>
    <row r="19" spans="1:7" ht="21.75" customHeight="1" x14ac:dyDescent="0.25">
      <c r="A19" s="105"/>
      <c r="B19" s="107" t="s">
        <v>13</v>
      </c>
      <c r="C19" s="108" t="s">
        <v>14</v>
      </c>
      <c r="D19" s="105"/>
      <c r="E19" s="105"/>
      <c r="F19" s="105"/>
      <c r="G19" s="105"/>
    </row>
    <row r="20" spans="1:7" ht="21.75" customHeight="1" x14ac:dyDescent="0.25">
      <c r="A20" s="105"/>
      <c r="B20" s="107" t="s">
        <v>15</v>
      </c>
      <c r="C20" s="108" t="s">
        <v>16</v>
      </c>
      <c r="D20" s="105"/>
      <c r="E20" s="105"/>
      <c r="F20" s="105"/>
      <c r="G20" s="105"/>
    </row>
    <row r="21" spans="1:7" ht="21.75" customHeight="1" x14ac:dyDescent="0.25">
      <c r="A21" s="105"/>
      <c r="B21" s="107" t="s">
        <v>17</v>
      </c>
      <c r="C21" s="108" t="s">
        <v>18</v>
      </c>
      <c r="D21" s="105"/>
      <c r="E21" s="105"/>
      <c r="F21" s="105"/>
      <c r="G21" s="105"/>
    </row>
    <row r="22" spans="1:7" ht="18" customHeight="1" x14ac:dyDescent="0.25">
      <c r="A22" s="105"/>
      <c r="B22" s="105"/>
      <c r="C22" s="105"/>
      <c r="D22" s="105"/>
      <c r="E22" s="105"/>
      <c r="F22" s="105"/>
      <c r="G22" s="105"/>
    </row>
    <row r="23" spans="1:7" ht="51.75" customHeight="1" x14ac:dyDescent="0.25">
      <c r="A23" s="110" t="s">
        <v>19</v>
      </c>
      <c r="B23" s="110"/>
      <c r="C23" s="110"/>
      <c r="D23" s="105"/>
      <c r="E23" s="105"/>
      <c r="F23" s="105"/>
      <c r="G23" s="105"/>
    </row>
    <row r="24" spans="1:7" ht="30.75" customHeight="1" x14ac:dyDescent="0.25">
      <c r="A24" s="105"/>
      <c r="B24" s="111" t="s">
        <v>20</v>
      </c>
      <c r="C24" s="112" t="s">
        <v>21</v>
      </c>
      <c r="D24" s="105"/>
      <c r="E24" s="105"/>
      <c r="F24" s="105"/>
      <c r="G24" s="105"/>
    </row>
    <row r="25" spans="1:7" ht="32.25" customHeight="1" x14ac:dyDescent="0.25">
      <c r="A25" s="105"/>
      <c r="B25" s="111" t="s">
        <v>22</v>
      </c>
      <c r="C25" s="112" t="s">
        <v>23</v>
      </c>
      <c r="D25" s="105"/>
      <c r="E25" s="105"/>
      <c r="F25" s="105"/>
      <c r="G25" s="105"/>
    </row>
    <row r="26" spans="1:7" ht="42" customHeight="1" x14ac:dyDescent="0.25">
      <c r="A26" s="105"/>
      <c r="B26" s="111" t="s">
        <v>24</v>
      </c>
      <c r="C26" s="112" t="s">
        <v>25</v>
      </c>
      <c r="D26" s="105"/>
      <c r="E26" s="105"/>
      <c r="F26" s="105"/>
      <c r="G26" s="105"/>
    </row>
    <row r="27" spans="1:7" ht="35.25" customHeight="1" x14ac:dyDescent="0.25">
      <c r="A27" s="105"/>
      <c r="B27" s="111" t="s">
        <v>26</v>
      </c>
      <c r="C27" s="112" t="s">
        <v>27</v>
      </c>
      <c r="D27" s="105"/>
      <c r="E27" s="105"/>
      <c r="F27" s="105"/>
      <c r="G27" s="105"/>
    </row>
    <row r="28" spans="1:7" ht="36" customHeight="1" x14ac:dyDescent="0.25">
      <c r="A28" s="105"/>
      <c r="B28" s="111" t="s">
        <v>28</v>
      </c>
      <c r="C28" s="112" t="s">
        <v>29</v>
      </c>
      <c r="D28" s="105"/>
      <c r="E28" s="105"/>
      <c r="F28" s="105"/>
      <c r="G28" s="105"/>
    </row>
    <row r="29" spans="1:7" ht="19.5" customHeight="1" x14ac:dyDescent="0.25">
      <c r="A29" s="105"/>
      <c r="B29" s="111" t="s">
        <v>30</v>
      </c>
      <c r="C29" s="112" t="s">
        <v>31</v>
      </c>
      <c r="D29" s="105"/>
      <c r="E29" s="105"/>
      <c r="F29" s="105"/>
      <c r="G29" s="105"/>
    </row>
    <row r="30" spans="1:7" ht="18" customHeight="1" x14ac:dyDescent="0.25">
      <c r="A30" s="105"/>
      <c r="B30" s="105"/>
      <c r="C30" s="105"/>
      <c r="D30" s="105"/>
      <c r="E30" s="105"/>
      <c r="F30" s="105"/>
      <c r="G30" s="105"/>
    </row>
    <row r="31" spans="1:7" ht="18" customHeight="1" x14ac:dyDescent="0.25">
      <c r="A31" s="105"/>
      <c r="B31" s="105"/>
      <c r="C31" s="105"/>
      <c r="D31" s="105"/>
      <c r="E31" s="105"/>
      <c r="F31" s="105"/>
      <c r="G31" s="105"/>
    </row>
    <row r="32" spans="1:7" ht="19.5" customHeight="1" x14ac:dyDescent="0.25">
      <c r="A32" s="113" t="s">
        <v>32</v>
      </c>
      <c r="B32" s="113"/>
      <c r="C32" s="113"/>
      <c r="D32" s="105"/>
      <c r="E32" s="105"/>
      <c r="F32" s="105"/>
      <c r="G32" s="105"/>
    </row>
    <row r="33" spans="1:7" ht="18" customHeight="1" x14ac:dyDescent="0.25">
      <c r="A33" s="105"/>
      <c r="B33" s="114" t="s">
        <v>33</v>
      </c>
      <c r="C33" s="112" t="s">
        <v>34</v>
      </c>
      <c r="D33" s="105"/>
      <c r="E33" s="105"/>
      <c r="F33" s="105"/>
      <c r="G33" s="105"/>
    </row>
    <row r="34" spans="1:7" ht="18" customHeight="1" x14ac:dyDescent="0.25">
      <c r="A34" s="105"/>
      <c r="B34" s="114" t="s">
        <v>35</v>
      </c>
      <c r="C34" s="112" t="s">
        <v>36</v>
      </c>
      <c r="D34" s="105"/>
      <c r="E34" s="105"/>
      <c r="F34" s="105"/>
      <c r="G34" s="105"/>
    </row>
    <row r="35" spans="1:7" ht="18" customHeight="1" x14ac:dyDescent="0.25">
      <c r="A35" s="105"/>
      <c r="B35" s="114" t="s">
        <v>37</v>
      </c>
      <c r="C35" s="112" t="s">
        <v>38</v>
      </c>
      <c r="D35" s="105"/>
      <c r="E35" s="105"/>
      <c r="F35" s="105"/>
      <c r="G35" s="105"/>
    </row>
    <row r="36" spans="1:7" ht="18" customHeight="1" x14ac:dyDescent="0.25">
      <c r="A36" s="105"/>
      <c r="B36" s="114" t="s">
        <v>39</v>
      </c>
      <c r="C36" s="112" t="s">
        <v>40</v>
      </c>
      <c r="D36" s="105"/>
      <c r="E36" s="105"/>
      <c r="F36" s="105"/>
      <c r="G36" s="105"/>
    </row>
    <row r="37" spans="1:7" ht="18" customHeight="1" x14ac:dyDescent="0.25">
      <c r="A37" s="105"/>
      <c r="B37" s="114" t="s">
        <v>41</v>
      </c>
      <c r="C37" s="112" t="s">
        <v>42</v>
      </c>
      <c r="D37" s="105"/>
      <c r="E37" s="105"/>
      <c r="F37" s="105"/>
      <c r="G37" s="105"/>
    </row>
    <row r="38" spans="1:7" ht="18" customHeight="1" x14ac:dyDescent="0.25">
      <c r="A38" s="105"/>
      <c r="B38" s="114" t="s">
        <v>43</v>
      </c>
      <c r="C38" s="112" t="s">
        <v>44</v>
      </c>
      <c r="D38" s="105"/>
      <c r="E38" s="105"/>
      <c r="F38" s="105"/>
      <c r="G38" s="105"/>
    </row>
    <row r="39" spans="1:7" ht="18" customHeight="1" x14ac:dyDescent="0.25">
      <c r="A39" s="105"/>
      <c r="B39" s="114" t="s">
        <v>45</v>
      </c>
      <c r="C39" s="112" t="s">
        <v>46</v>
      </c>
      <c r="D39" s="105"/>
      <c r="E39" s="105"/>
      <c r="F39" s="105"/>
      <c r="G39" s="105"/>
    </row>
    <row r="40" spans="1:7" ht="18" customHeight="1" x14ac:dyDescent="0.25">
      <c r="A40" s="105"/>
      <c r="B40" s="114" t="s">
        <v>47</v>
      </c>
      <c r="C40" s="112" t="s">
        <v>48</v>
      </c>
      <c r="D40" s="105"/>
      <c r="E40" s="105"/>
      <c r="F40" s="105"/>
      <c r="G40" s="105"/>
    </row>
    <row r="41" spans="1:7" ht="18" customHeight="1" x14ac:dyDescent="0.25">
      <c r="A41" s="105"/>
      <c r="B41" s="105"/>
      <c r="C41" s="105"/>
      <c r="D41" s="105"/>
      <c r="E41" s="105"/>
      <c r="F41" s="105"/>
      <c r="G41" s="105"/>
    </row>
    <row r="42" spans="1:7" ht="18" customHeight="1" x14ac:dyDescent="0.25">
      <c r="A42" s="105"/>
      <c r="B42" s="105"/>
      <c r="C42" s="105"/>
      <c r="D42" s="105"/>
      <c r="E42" s="105"/>
      <c r="F42" s="105"/>
      <c r="G42" s="105"/>
    </row>
    <row r="43" spans="1:7" ht="18" customHeight="1" x14ac:dyDescent="0.25">
      <c r="A43" s="105"/>
      <c r="B43" s="105"/>
      <c r="C43" s="105"/>
      <c r="D43" s="105"/>
      <c r="E43" s="105"/>
      <c r="F43" s="105"/>
      <c r="G43" s="105"/>
    </row>
    <row r="44" spans="1:7" ht="18" customHeight="1" x14ac:dyDescent="0.25">
      <c r="A44" s="105"/>
      <c r="B44" s="105"/>
      <c r="C44" s="105"/>
      <c r="D44" s="105"/>
      <c r="E44" s="105"/>
      <c r="F44" s="105"/>
      <c r="G44" s="105"/>
    </row>
    <row r="45" spans="1:7" ht="18" customHeight="1" x14ac:dyDescent="0.25">
      <c r="A45" s="105"/>
      <c r="B45" s="105"/>
      <c r="C45" s="105"/>
      <c r="D45" s="105"/>
      <c r="E45" s="105"/>
      <c r="F45" s="105"/>
      <c r="G45" s="105"/>
    </row>
    <row r="46" spans="1:7" ht="18" customHeight="1" x14ac:dyDescent="0.25">
      <c r="A46" s="105"/>
      <c r="B46" s="105"/>
      <c r="C46" s="105"/>
      <c r="D46" s="105"/>
      <c r="E46" s="105"/>
      <c r="F46" s="105"/>
      <c r="G46" s="105"/>
    </row>
    <row r="47" spans="1:7" ht="18" customHeight="1" x14ac:dyDescent="0.25">
      <c r="A47" s="105"/>
      <c r="B47" s="105"/>
      <c r="C47" s="105"/>
      <c r="D47" s="105"/>
      <c r="E47" s="105"/>
      <c r="F47" s="105"/>
      <c r="G47" s="105"/>
    </row>
    <row r="48" spans="1:7" ht="18" customHeight="1" x14ac:dyDescent="0.25">
      <c r="A48" s="105"/>
      <c r="B48" s="105"/>
      <c r="C48" s="105"/>
      <c r="D48" s="105"/>
      <c r="E48" s="105"/>
      <c r="F48" s="105"/>
      <c r="G48" s="105"/>
    </row>
    <row r="49" spans="1:7" ht="18" customHeight="1" x14ac:dyDescent="0.25">
      <c r="A49" s="105"/>
      <c r="B49" s="105"/>
      <c r="C49" s="105"/>
      <c r="D49" s="105"/>
      <c r="E49" s="105"/>
      <c r="F49" s="105"/>
      <c r="G49" s="105"/>
    </row>
    <row r="50" spans="1:7" ht="18" customHeight="1" x14ac:dyDescent="0.25">
      <c r="A50" s="105"/>
      <c r="B50" s="105"/>
      <c r="C50" s="105"/>
      <c r="D50" s="105"/>
      <c r="E50" s="105"/>
      <c r="F50" s="105"/>
      <c r="G50" s="105"/>
    </row>
    <row r="51" spans="1:7" ht="18" customHeight="1" x14ac:dyDescent="0.25">
      <c r="A51" s="105"/>
      <c r="B51" s="105"/>
      <c r="C51" s="105"/>
      <c r="D51" s="105"/>
      <c r="E51" s="105"/>
      <c r="F51" s="105"/>
      <c r="G51" s="105"/>
    </row>
    <row r="52" spans="1:7" ht="18" customHeight="1" x14ac:dyDescent="0.25">
      <c r="A52" s="105"/>
      <c r="B52" s="105"/>
      <c r="C52" s="105"/>
      <c r="D52" s="105"/>
      <c r="E52" s="105"/>
      <c r="F52" s="105"/>
      <c r="G52" s="105"/>
    </row>
    <row r="53" spans="1:7" ht="15.75" customHeight="1" x14ac:dyDescent="0.25">
      <c r="A53" s="115" t="s">
        <v>49</v>
      </c>
      <c r="B53" s="115"/>
      <c r="C53" s="115"/>
      <c r="D53" s="115"/>
      <c r="E53" s="115"/>
      <c r="F53" s="115"/>
      <c r="G53" s="115"/>
    </row>
    <row r="54" spans="1:7" ht="18" customHeight="1" x14ac:dyDescent="0.25">
      <c r="A54" s="105"/>
      <c r="B54" s="105"/>
      <c r="C54" s="105"/>
      <c r="D54" s="105"/>
      <c r="E54" s="105"/>
      <c r="F54" s="105"/>
      <c r="G54" s="105"/>
    </row>
  </sheetData>
  <sheetProtection algorithmName="SHA-512" hashValue="0WeWteuta+nuoCPskGCJknyVZTYQSbMxRNQzKnPPwckLdlWX0qfPLplb+egT/sZB+idDec78Y/WrzXIQih6B0Q==" saltValue="5uQrkwSTIhQ239xf0Z10Fg==" spinCount="100000" sheet="1" objects="1" scenarios="1"/>
  <mergeCells count="8">
    <mergeCell ref="A2:G3"/>
    <mergeCell ref="A4:G5"/>
    <mergeCell ref="A8:G9"/>
    <mergeCell ref="A10:G10"/>
    <mergeCell ref="A11:G11"/>
    <mergeCell ref="A23:C23"/>
    <mergeCell ref="A32:C32"/>
    <mergeCell ref="A53:G53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6C3483"/>
  </sheetPr>
  <dimension ref="A1:E48"/>
  <sheetViews>
    <sheetView zoomScaleNormal="100" workbookViewId="0">
      <pane ySplit="2" topLeftCell="A36" activePane="bottomLeft" state="frozen"/>
      <selection pane="bottomLeft" activeCell="A34" sqref="A34:E34"/>
    </sheetView>
  </sheetViews>
  <sheetFormatPr defaultColWidth="8.7109375" defaultRowHeight="15" x14ac:dyDescent="0.25"/>
  <cols>
    <col min="1" max="1" width="30" customWidth="1"/>
    <col min="2" max="2" width="18" customWidth="1"/>
    <col min="3" max="3" width="22" customWidth="1"/>
    <col min="4" max="4" width="21.7109375" customWidth="1"/>
    <col min="5" max="5" width="18" customWidth="1"/>
  </cols>
  <sheetData>
    <row r="1" spans="1:5" ht="30" customHeight="1" x14ac:dyDescent="0.25">
      <c r="A1" s="28" t="s">
        <v>50</v>
      </c>
      <c r="B1" s="28"/>
      <c r="C1" s="28"/>
      <c r="D1" s="28"/>
      <c r="E1" s="28"/>
    </row>
    <row r="2" spans="1:5" ht="15" customHeight="1" x14ac:dyDescent="0.25">
      <c r="A2" s="29" t="s">
        <v>51</v>
      </c>
      <c r="B2" s="29"/>
      <c r="C2" s="29"/>
      <c r="D2" s="29"/>
      <c r="E2" s="29"/>
    </row>
    <row r="3" spans="1:5" ht="21.75" customHeight="1" x14ac:dyDescent="0.25">
      <c r="A3" s="26" t="s">
        <v>52</v>
      </c>
      <c r="B3" s="26"/>
      <c r="C3" s="26"/>
      <c r="D3" s="26"/>
      <c r="E3" s="26"/>
    </row>
    <row r="4" spans="1:5" ht="19.5" customHeight="1" x14ac:dyDescent="0.25">
      <c r="A4" s="2" t="s">
        <v>53</v>
      </c>
      <c r="B4" s="2" t="s">
        <v>54</v>
      </c>
      <c r="C4" s="2" t="s">
        <v>55</v>
      </c>
      <c r="D4" s="2" t="s">
        <v>56</v>
      </c>
      <c r="E4" s="2" t="s">
        <v>57</v>
      </c>
    </row>
    <row r="5" spans="1:5" ht="19.5" customHeight="1" x14ac:dyDescent="0.25">
      <c r="A5" s="3" t="s">
        <v>58</v>
      </c>
      <c r="B5" s="4">
        <v>0.12</v>
      </c>
      <c r="C5" s="5" t="s">
        <v>59</v>
      </c>
      <c r="D5" s="6" t="s">
        <v>12</v>
      </c>
      <c r="E5" s="7" t="s">
        <v>60</v>
      </c>
    </row>
    <row r="6" spans="1:5" ht="19.5" customHeight="1" x14ac:dyDescent="0.25">
      <c r="A6" s="3" t="s">
        <v>61</v>
      </c>
      <c r="B6" s="5" t="s">
        <v>59</v>
      </c>
      <c r="C6" s="4">
        <v>8.3299999999999999E-2</v>
      </c>
      <c r="D6" s="6" t="s">
        <v>62</v>
      </c>
      <c r="E6" s="7" t="s">
        <v>63</v>
      </c>
    </row>
    <row r="7" spans="1:5" ht="19.5" customHeight="1" x14ac:dyDescent="0.25">
      <c r="A7" s="3" t="s">
        <v>64</v>
      </c>
      <c r="B7" s="5" t="s">
        <v>59</v>
      </c>
      <c r="C7" s="4">
        <v>3.6700000000000003E-2</v>
      </c>
      <c r="D7" s="6" t="s">
        <v>65</v>
      </c>
      <c r="E7" s="7" t="s">
        <v>66</v>
      </c>
    </row>
    <row r="8" spans="1:5" ht="19.5" customHeight="1" x14ac:dyDescent="0.25">
      <c r="A8" s="3" t="s">
        <v>67</v>
      </c>
      <c r="B8" s="4">
        <v>7.4999999999999997E-3</v>
      </c>
      <c r="C8" s="5" t="s">
        <v>59</v>
      </c>
      <c r="D8" s="6" t="s">
        <v>14</v>
      </c>
      <c r="E8" s="7" t="s">
        <v>68</v>
      </c>
    </row>
    <row r="9" spans="1:5" ht="19.5" customHeight="1" x14ac:dyDescent="0.25">
      <c r="A9" s="3" t="s">
        <v>69</v>
      </c>
      <c r="B9" s="5" t="s">
        <v>59</v>
      </c>
      <c r="C9" s="4">
        <v>3.2500000000000001E-2</v>
      </c>
      <c r="D9" s="6" t="s">
        <v>70</v>
      </c>
      <c r="E9" s="7" t="s">
        <v>71</v>
      </c>
    </row>
    <row r="10" spans="1:5" ht="19.5" customHeight="1" x14ac:dyDescent="0.25">
      <c r="A10" s="3" t="s">
        <v>72</v>
      </c>
      <c r="B10" s="8">
        <v>200</v>
      </c>
      <c r="C10" s="5" t="s">
        <v>59</v>
      </c>
      <c r="D10" s="6" t="s">
        <v>73</v>
      </c>
      <c r="E10" s="7" t="s">
        <v>74</v>
      </c>
    </row>
    <row r="11" spans="1:5" ht="19.5" customHeight="1" x14ac:dyDescent="0.25">
      <c r="A11" s="3" t="s">
        <v>75</v>
      </c>
      <c r="B11" s="8">
        <v>6</v>
      </c>
      <c r="C11" s="8">
        <v>12</v>
      </c>
      <c r="D11" s="6" t="s">
        <v>76</v>
      </c>
      <c r="E11" s="7" t="s">
        <v>77</v>
      </c>
    </row>
    <row r="12" spans="1:5" ht="19.5" customHeight="1" x14ac:dyDescent="0.25">
      <c r="A12" s="3" t="s">
        <v>78</v>
      </c>
      <c r="B12" s="8">
        <v>21000</v>
      </c>
      <c r="C12" s="5" t="s">
        <v>59</v>
      </c>
      <c r="D12" s="6" t="s">
        <v>79</v>
      </c>
      <c r="E12" s="7" t="s">
        <v>80</v>
      </c>
    </row>
    <row r="13" spans="1:5" ht="19.5" customHeight="1" x14ac:dyDescent="0.25">
      <c r="A13" s="3" t="s">
        <v>81</v>
      </c>
      <c r="B13" s="8">
        <v>15000</v>
      </c>
      <c r="C13" s="5" t="s">
        <v>59</v>
      </c>
      <c r="D13" s="6" t="s">
        <v>82</v>
      </c>
      <c r="E13" s="7" t="s">
        <v>83</v>
      </c>
    </row>
    <row r="15" spans="1:5" ht="21.75" customHeight="1" x14ac:dyDescent="0.25">
      <c r="A15" s="30" t="s">
        <v>84</v>
      </c>
      <c r="B15" s="30"/>
      <c r="C15" s="30"/>
      <c r="D15" s="30"/>
      <c r="E15" s="30"/>
    </row>
    <row r="16" spans="1:5" ht="19.5" customHeight="1" x14ac:dyDescent="0.25">
      <c r="A16" s="2" t="s">
        <v>53</v>
      </c>
      <c r="B16" s="2" t="s">
        <v>85</v>
      </c>
      <c r="C16" s="2" t="s">
        <v>86</v>
      </c>
      <c r="D16" s="2" t="s">
        <v>87</v>
      </c>
      <c r="E16" s="2"/>
    </row>
    <row r="17" spans="1:5" ht="18.75" customHeight="1" x14ac:dyDescent="0.25">
      <c r="A17" s="3" t="s">
        <v>88</v>
      </c>
      <c r="B17" s="5" t="s">
        <v>89</v>
      </c>
      <c r="C17" s="9" t="s">
        <v>90</v>
      </c>
      <c r="D17" s="6" t="s">
        <v>91</v>
      </c>
      <c r="E17" s="1"/>
    </row>
    <row r="18" spans="1:5" ht="18.75" customHeight="1" x14ac:dyDescent="0.25">
      <c r="A18" s="3" t="s">
        <v>92</v>
      </c>
      <c r="B18" s="5" t="s">
        <v>93</v>
      </c>
      <c r="C18" s="9" t="s">
        <v>94</v>
      </c>
      <c r="D18" s="6" t="s">
        <v>95</v>
      </c>
      <c r="E18" s="1"/>
    </row>
    <row r="19" spans="1:5" ht="18.75" customHeight="1" x14ac:dyDescent="0.25">
      <c r="A19" s="3" t="s">
        <v>43</v>
      </c>
      <c r="B19" s="5" t="s">
        <v>96</v>
      </c>
      <c r="C19" s="9" t="s">
        <v>94</v>
      </c>
      <c r="D19" s="6" t="s">
        <v>97</v>
      </c>
      <c r="E19" s="1"/>
    </row>
    <row r="20" spans="1:5" ht="18.75" customHeight="1" x14ac:dyDescent="0.25">
      <c r="A20" s="3" t="s">
        <v>98</v>
      </c>
      <c r="B20" s="5" t="s">
        <v>99</v>
      </c>
      <c r="C20" s="9" t="s">
        <v>94</v>
      </c>
      <c r="D20" s="6" t="s">
        <v>100</v>
      </c>
      <c r="E20" s="1"/>
    </row>
    <row r="21" spans="1:5" ht="18.75" customHeight="1" x14ac:dyDescent="0.25">
      <c r="A21" s="3" t="s">
        <v>101</v>
      </c>
      <c r="B21" s="5" t="s">
        <v>102</v>
      </c>
      <c r="C21" s="9" t="s">
        <v>103</v>
      </c>
      <c r="D21" s="6" t="s">
        <v>104</v>
      </c>
      <c r="E21" s="1"/>
    </row>
    <row r="22" spans="1:5" ht="18.75" customHeight="1" x14ac:dyDescent="0.25">
      <c r="A22" s="3" t="s">
        <v>105</v>
      </c>
      <c r="B22" s="5" t="s">
        <v>106</v>
      </c>
      <c r="C22" s="9" t="s">
        <v>107</v>
      </c>
      <c r="D22" s="6" t="s">
        <v>108</v>
      </c>
      <c r="E22" s="1"/>
    </row>
    <row r="23" spans="1:5" ht="18.75" customHeight="1" x14ac:dyDescent="0.25">
      <c r="A23" s="3" t="s">
        <v>109</v>
      </c>
      <c r="B23" s="5" t="s">
        <v>110</v>
      </c>
      <c r="C23" s="9" t="s">
        <v>107</v>
      </c>
      <c r="D23" s="6" t="s">
        <v>111</v>
      </c>
      <c r="E23" s="1"/>
    </row>
    <row r="24" spans="1:5" ht="18.75" customHeight="1" x14ac:dyDescent="0.25">
      <c r="A24" s="3" t="s">
        <v>112</v>
      </c>
      <c r="B24" s="5" t="s">
        <v>113</v>
      </c>
      <c r="C24" s="9" t="s">
        <v>107</v>
      </c>
      <c r="D24" s="6" t="s">
        <v>114</v>
      </c>
      <c r="E24" s="1"/>
    </row>
    <row r="25" spans="1:5" ht="18.75" customHeight="1" x14ac:dyDescent="0.25">
      <c r="A25" s="3" t="s">
        <v>115</v>
      </c>
      <c r="B25" s="5" t="s">
        <v>106</v>
      </c>
      <c r="C25" s="9" t="s">
        <v>116</v>
      </c>
      <c r="D25" s="6" t="s">
        <v>117</v>
      </c>
      <c r="E25" s="1"/>
    </row>
    <row r="26" spans="1:5" ht="18.75" customHeight="1" x14ac:dyDescent="0.25">
      <c r="A26" s="3" t="s">
        <v>118</v>
      </c>
      <c r="B26" s="5" t="s">
        <v>12</v>
      </c>
      <c r="C26" s="9" t="s">
        <v>119</v>
      </c>
      <c r="D26" s="6" t="s">
        <v>120</v>
      </c>
      <c r="E26" s="1"/>
    </row>
    <row r="27" spans="1:5" ht="18.75" customHeight="1" x14ac:dyDescent="0.25">
      <c r="A27" s="3" t="s">
        <v>121</v>
      </c>
      <c r="B27" s="5" t="s">
        <v>122</v>
      </c>
      <c r="C27" s="9" t="s">
        <v>119</v>
      </c>
      <c r="D27" s="6" t="s">
        <v>123</v>
      </c>
      <c r="E27" s="1"/>
    </row>
    <row r="29" spans="1:5" ht="21.75" customHeight="1" x14ac:dyDescent="0.25">
      <c r="A29" s="31" t="s">
        <v>124</v>
      </c>
      <c r="B29" s="31"/>
      <c r="C29" s="31"/>
      <c r="D29" s="31"/>
      <c r="E29" s="31"/>
    </row>
    <row r="30" spans="1:5" ht="43.5" customHeight="1" x14ac:dyDescent="0.25">
      <c r="A30" s="3" t="s">
        <v>125</v>
      </c>
      <c r="B30" s="10">
        <v>0.5</v>
      </c>
      <c r="C30" s="7" t="s">
        <v>126</v>
      </c>
      <c r="D30" s="6" t="s">
        <v>127</v>
      </c>
      <c r="E30" s="1"/>
    </row>
    <row r="31" spans="1:5" ht="36.75" customHeight="1" x14ac:dyDescent="0.25">
      <c r="A31" s="3" t="s">
        <v>128</v>
      </c>
      <c r="B31" s="10">
        <v>0.4</v>
      </c>
      <c r="C31" s="7" t="s">
        <v>129</v>
      </c>
      <c r="D31" s="6" t="s">
        <v>130</v>
      </c>
      <c r="E31" s="1"/>
    </row>
    <row r="32" spans="1:5" ht="19.5" customHeight="1" x14ac:dyDescent="0.25">
      <c r="A32" s="3" t="s">
        <v>131</v>
      </c>
      <c r="B32" s="11" t="s">
        <v>132</v>
      </c>
      <c r="C32" s="7" t="s">
        <v>133</v>
      </c>
      <c r="D32" s="6" t="s">
        <v>134</v>
      </c>
      <c r="E32" s="1"/>
    </row>
    <row r="34" spans="1:5" ht="45" customHeight="1" x14ac:dyDescent="0.25">
      <c r="A34" s="25" t="s">
        <v>135</v>
      </c>
      <c r="B34" s="25"/>
      <c r="C34" s="25"/>
      <c r="D34" s="25"/>
      <c r="E34" s="25"/>
    </row>
    <row r="36" spans="1:5" ht="21.75" customHeight="1" x14ac:dyDescent="0.25">
      <c r="A36" s="26" t="s">
        <v>136</v>
      </c>
      <c r="B36" s="26"/>
      <c r="C36" s="26"/>
      <c r="D36" s="26"/>
      <c r="E36" s="26"/>
    </row>
    <row r="37" spans="1:5" ht="19.5" customHeight="1" x14ac:dyDescent="0.25">
      <c r="A37" s="2" t="s">
        <v>137</v>
      </c>
      <c r="B37" s="2" t="s">
        <v>138</v>
      </c>
      <c r="C37" s="2" t="s">
        <v>139</v>
      </c>
      <c r="D37" s="2"/>
      <c r="E37" s="2"/>
    </row>
    <row r="38" spans="1:5" ht="18" customHeight="1" x14ac:dyDescent="0.25">
      <c r="A38" s="12">
        <v>0</v>
      </c>
      <c r="B38" s="12">
        <v>400000</v>
      </c>
      <c r="C38" s="13">
        <v>0</v>
      </c>
      <c r="D38" s="1"/>
      <c r="E38" s="1"/>
    </row>
    <row r="39" spans="1:5" ht="18" customHeight="1" x14ac:dyDescent="0.25">
      <c r="A39" s="12">
        <v>400000</v>
      </c>
      <c r="B39" s="12">
        <v>800000</v>
      </c>
      <c r="C39" s="13">
        <v>0.05</v>
      </c>
      <c r="D39" s="1"/>
      <c r="E39" s="1"/>
    </row>
    <row r="40" spans="1:5" ht="18" customHeight="1" x14ac:dyDescent="0.25">
      <c r="A40" s="12">
        <v>800000</v>
      </c>
      <c r="B40" s="12">
        <v>1200000</v>
      </c>
      <c r="C40" s="13">
        <v>0.1</v>
      </c>
      <c r="D40" s="1"/>
      <c r="E40" s="1"/>
    </row>
    <row r="41" spans="1:5" ht="18" customHeight="1" x14ac:dyDescent="0.25">
      <c r="A41" s="12">
        <v>1200000</v>
      </c>
      <c r="B41" s="12">
        <v>1600000</v>
      </c>
      <c r="C41" s="13">
        <v>0.15</v>
      </c>
      <c r="D41" s="1"/>
      <c r="E41" s="1"/>
    </row>
    <row r="42" spans="1:5" ht="18" customHeight="1" x14ac:dyDescent="0.25">
      <c r="A42" s="12">
        <v>1600000</v>
      </c>
      <c r="B42" s="12">
        <v>2000000</v>
      </c>
      <c r="C42" s="13">
        <v>0.2</v>
      </c>
      <c r="D42" s="1"/>
      <c r="E42" s="1"/>
    </row>
    <row r="43" spans="1:5" ht="18" customHeight="1" x14ac:dyDescent="0.25">
      <c r="A43" s="12">
        <v>2000000</v>
      </c>
      <c r="B43" s="12">
        <v>2400000</v>
      </c>
      <c r="C43" s="13">
        <v>0.25</v>
      </c>
      <c r="D43" s="1"/>
      <c r="E43" s="1"/>
    </row>
    <row r="44" spans="1:5" ht="18" customHeight="1" x14ac:dyDescent="0.25">
      <c r="A44" s="12">
        <v>2400000</v>
      </c>
      <c r="B44" s="12">
        <v>99999999</v>
      </c>
      <c r="C44" s="13">
        <v>0.3</v>
      </c>
      <c r="D44" s="1" t="s">
        <v>140</v>
      </c>
      <c r="E44" s="1"/>
    </row>
    <row r="45" spans="1:5" ht="18.75" customHeight="1" x14ac:dyDescent="0.25">
      <c r="A45" s="3" t="s">
        <v>141</v>
      </c>
      <c r="B45" s="14">
        <v>75000</v>
      </c>
      <c r="C45" s="27"/>
      <c r="D45" s="27"/>
      <c r="E45" s="27"/>
    </row>
    <row r="46" spans="1:5" ht="18.75" customHeight="1" x14ac:dyDescent="0.25">
      <c r="A46" s="3" t="s">
        <v>142</v>
      </c>
      <c r="B46" s="14">
        <v>1200000</v>
      </c>
      <c r="C46" s="27"/>
      <c r="D46" s="27"/>
      <c r="E46" s="27"/>
    </row>
    <row r="47" spans="1:5" ht="18.75" customHeight="1" x14ac:dyDescent="0.25">
      <c r="A47" s="3" t="s">
        <v>143</v>
      </c>
      <c r="B47" s="10">
        <v>0.04</v>
      </c>
      <c r="C47" s="27"/>
      <c r="D47" s="27"/>
      <c r="E47" s="27"/>
    </row>
    <row r="48" spans="1:5" ht="27.75" customHeight="1" x14ac:dyDescent="0.25">
      <c r="A48" s="24" t="s">
        <v>144</v>
      </c>
      <c r="B48" s="24"/>
      <c r="C48" s="24"/>
      <c r="D48" s="24"/>
      <c r="E48" s="24"/>
    </row>
  </sheetData>
  <mergeCells count="11">
    <mergeCell ref="A1:E1"/>
    <mergeCell ref="A2:E2"/>
    <mergeCell ref="A3:E3"/>
    <mergeCell ref="A15:E15"/>
    <mergeCell ref="A29:E29"/>
    <mergeCell ref="A48:E48"/>
    <mergeCell ref="A34:E34"/>
    <mergeCell ref="A36:E36"/>
    <mergeCell ref="C45:E45"/>
    <mergeCell ref="C46:E46"/>
    <mergeCell ref="C47:E47"/>
  </mergeCells>
  <pageMargins left="0.75" right="0.75" top="1" bottom="1" header="0.511811023622047" footer="0.511811023622047"/>
  <pageSetup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B4F72"/>
  </sheetPr>
  <dimension ref="A1:M21"/>
  <sheetViews>
    <sheetView zoomScaleNormal="100" workbookViewId="0">
      <pane ySplit="3" topLeftCell="A4" activePane="bottomLeft" state="frozen"/>
      <selection pane="bottomLeft" activeCell="H4" sqref="H4:K4"/>
    </sheetView>
  </sheetViews>
  <sheetFormatPr defaultColWidth="8.7109375" defaultRowHeight="15" x14ac:dyDescent="0.25"/>
  <cols>
    <col min="1" max="1" width="5" customWidth="1"/>
    <col min="2" max="2" width="14" customWidth="1"/>
    <col min="3" max="3" width="22" customWidth="1"/>
    <col min="4" max="4" width="18" customWidth="1"/>
    <col min="5" max="5" width="16" customWidth="1"/>
    <col min="6" max="6" width="18" customWidth="1"/>
    <col min="7" max="8" width="14" customWidth="1"/>
    <col min="9" max="9" width="16" customWidth="1"/>
    <col min="10" max="10" width="14" customWidth="1"/>
    <col min="11" max="12" width="16" customWidth="1"/>
    <col min="13" max="13" width="14" customWidth="1"/>
  </cols>
  <sheetData>
    <row r="1" spans="1:13" ht="30" customHeight="1" x14ac:dyDescent="0.25">
      <c r="A1" s="28" t="s">
        <v>145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15" customHeight="1" x14ac:dyDescent="0.25">
      <c r="A2" s="29" t="s">
        <v>146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19.5" customHeight="1" x14ac:dyDescent="0.25">
      <c r="A3" s="15" t="s">
        <v>147</v>
      </c>
      <c r="B3" s="15" t="s">
        <v>148</v>
      </c>
      <c r="C3" s="15" t="s">
        <v>149</v>
      </c>
      <c r="D3" s="15" t="s">
        <v>150</v>
      </c>
      <c r="E3" s="15" t="s">
        <v>151</v>
      </c>
      <c r="F3" s="15" t="s">
        <v>152</v>
      </c>
      <c r="G3" s="15" t="s">
        <v>153</v>
      </c>
      <c r="H3" s="15" t="s">
        <v>154</v>
      </c>
      <c r="I3" s="15" t="s">
        <v>155</v>
      </c>
      <c r="J3" s="15" t="s">
        <v>156</v>
      </c>
      <c r="K3" s="15" t="s">
        <v>157</v>
      </c>
      <c r="L3" s="15" t="s">
        <v>158</v>
      </c>
      <c r="M3" s="15" t="s">
        <v>159</v>
      </c>
    </row>
    <row r="4" spans="1:13" ht="19.5" customHeight="1" x14ac:dyDescent="0.25">
      <c r="A4" s="16">
        <v>1</v>
      </c>
      <c r="B4" s="16" t="s">
        <v>160</v>
      </c>
      <c r="C4" s="17" t="s">
        <v>161</v>
      </c>
      <c r="D4" s="18" t="s">
        <v>162</v>
      </c>
      <c r="E4" s="18" t="s">
        <v>163</v>
      </c>
      <c r="F4" s="19" t="s">
        <v>164</v>
      </c>
      <c r="G4" s="12">
        <v>1500000</v>
      </c>
      <c r="H4" s="12">
        <v>75000</v>
      </c>
      <c r="I4" s="12">
        <v>37500</v>
      </c>
      <c r="J4" s="12">
        <v>7500</v>
      </c>
      <c r="K4" s="12">
        <v>5000</v>
      </c>
      <c r="L4" s="5" t="s">
        <v>165</v>
      </c>
      <c r="M4" s="5" t="s">
        <v>166</v>
      </c>
    </row>
    <row r="5" spans="1:13" ht="19.5" customHeight="1" x14ac:dyDescent="0.25">
      <c r="A5" s="9">
        <v>2</v>
      </c>
      <c r="B5" s="9" t="s">
        <v>167</v>
      </c>
      <c r="C5" s="3" t="s">
        <v>168</v>
      </c>
      <c r="D5" s="20" t="s">
        <v>169</v>
      </c>
      <c r="E5" s="20" t="s">
        <v>170</v>
      </c>
      <c r="F5" s="21" t="s">
        <v>171</v>
      </c>
      <c r="G5" s="12">
        <v>900000</v>
      </c>
      <c r="H5" s="12">
        <v>33750</v>
      </c>
      <c r="I5" s="12">
        <v>16875</v>
      </c>
      <c r="J5" s="12">
        <v>17775</v>
      </c>
      <c r="K5" s="12">
        <v>3750</v>
      </c>
      <c r="L5" s="5" t="s">
        <v>165</v>
      </c>
      <c r="M5" s="5" t="s">
        <v>166</v>
      </c>
    </row>
    <row r="6" spans="1:13" ht="19.5" customHeight="1" x14ac:dyDescent="0.25">
      <c r="A6" s="16">
        <v>3</v>
      </c>
      <c r="B6" s="16" t="s">
        <v>172</v>
      </c>
      <c r="C6" s="17" t="s">
        <v>173</v>
      </c>
      <c r="D6" s="18" t="s">
        <v>174</v>
      </c>
      <c r="E6" s="18" t="s">
        <v>175</v>
      </c>
      <c r="F6" s="19" t="s">
        <v>176</v>
      </c>
      <c r="G6" s="12">
        <v>780000</v>
      </c>
      <c r="H6" s="12">
        <v>29250</v>
      </c>
      <c r="I6" s="12">
        <v>14625</v>
      </c>
      <c r="J6" s="12">
        <v>15025</v>
      </c>
      <c r="K6" s="12">
        <v>3250</v>
      </c>
      <c r="L6" s="5" t="s">
        <v>165</v>
      </c>
      <c r="M6" s="5" t="s">
        <v>166</v>
      </c>
    </row>
    <row r="7" spans="1:13" ht="19.5" customHeight="1" x14ac:dyDescent="0.25">
      <c r="A7" s="9">
        <v>4</v>
      </c>
      <c r="B7" s="9" t="s">
        <v>177</v>
      </c>
      <c r="C7" s="3" t="s">
        <v>178</v>
      </c>
      <c r="D7" s="20" t="s">
        <v>179</v>
      </c>
      <c r="E7" s="20" t="s">
        <v>180</v>
      </c>
      <c r="F7" s="21" t="s">
        <v>181</v>
      </c>
      <c r="G7" s="12">
        <v>720000</v>
      </c>
      <c r="H7" s="12">
        <v>27000</v>
      </c>
      <c r="I7" s="12">
        <v>13500</v>
      </c>
      <c r="J7" s="12">
        <v>13650</v>
      </c>
      <c r="K7" s="12">
        <v>3000</v>
      </c>
      <c r="L7" s="5" t="s">
        <v>165</v>
      </c>
      <c r="M7" s="5" t="s">
        <v>166</v>
      </c>
    </row>
    <row r="8" spans="1:13" ht="19.5" customHeight="1" x14ac:dyDescent="0.25">
      <c r="A8" s="16">
        <v>5</v>
      </c>
      <c r="B8" s="16" t="s">
        <v>182</v>
      </c>
      <c r="C8" s="17" t="s">
        <v>183</v>
      </c>
      <c r="D8" s="18" t="s">
        <v>184</v>
      </c>
      <c r="E8" s="18" t="s">
        <v>185</v>
      </c>
      <c r="F8" s="19" t="s">
        <v>186</v>
      </c>
      <c r="G8" s="12">
        <v>840000</v>
      </c>
      <c r="H8" s="12">
        <v>31500</v>
      </c>
      <c r="I8" s="12">
        <v>15750</v>
      </c>
      <c r="J8" s="12">
        <v>16400</v>
      </c>
      <c r="K8" s="12">
        <v>3500</v>
      </c>
      <c r="L8" s="5" t="s">
        <v>165</v>
      </c>
      <c r="M8" s="5" t="s">
        <v>166</v>
      </c>
    </row>
    <row r="9" spans="1:13" ht="19.5" customHeight="1" x14ac:dyDescent="0.25">
      <c r="A9" s="9">
        <v>6</v>
      </c>
      <c r="B9" s="9" t="s">
        <v>187</v>
      </c>
      <c r="C9" s="3" t="s">
        <v>188</v>
      </c>
      <c r="D9" s="20" t="s">
        <v>189</v>
      </c>
      <c r="E9" s="20" t="s">
        <v>190</v>
      </c>
      <c r="F9" s="21" t="s">
        <v>191</v>
      </c>
      <c r="G9" s="12">
        <v>480000</v>
      </c>
      <c r="H9" s="12">
        <v>18000</v>
      </c>
      <c r="I9" s="12">
        <v>9000</v>
      </c>
      <c r="J9" s="12">
        <v>8150</v>
      </c>
      <c r="K9" s="12">
        <v>2000</v>
      </c>
      <c r="L9" s="5" t="s">
        <v>165</v>
      </c>
      <c r="M9" s="5" t="s">
        <v>166</v>
      </c>
    </row>
    <row r="10" spans="1:13" ht="19.5" customHeight="1" x14ac:dyDescent="0.25">
      <c r="A10" s="16">
        <v>7</v>
      </c>
      <c r="B10" s="16" t="s">
        <v>192</v>
      </c>
      <c r="C10" s="17" t="s">
        <v>193</v>
      </c>
      <c r="D10" s="18" t="s">
        <v>194</v>
      </c>
      <c r="E10" s="18" t="s">
        <v>170</v>
      </c>
      <c r="F10" s="19" t="s">
        <v>195</v>
      </c>
      <c r="G10" s="12">
        <v>420000</v>
      </c>
      <c r="H10" s="12">
        <v>15750</v>
      </c>
      <c r="I10" s="12">
        <v>7875</v>
      </c>
      <c r="J10" s="12">
        <v>6775</v>
      </c>
      <c r="K10" s="12">
        <v>1750</v>
      </c>
      <c r="L10" s="5" t="s">
        <v>165</v>
      </c>
      <c r="M10" s="5" t="s">
        <v>166</v>
      </c>
    </row>
    <row r="11" spans="1:13" ht="19.5" customHeight="1" x14ac:dyDescent="0.25">
      <c r="A11" s="9">
        <v>8</v>
      </c>
      <c r="B11" s="9" t="s">
        <v>196</v>
      </c>
      <c r="C11" s="3" t="s">
        <v>197</v>
      </c>
      <c r="D11" s="20" t="s">
        <v>198</v>
      </c>
      <c r="E11" s="20" t="s">
        <v>175</v>
      </c>
      <c r="F11" s="21" t="s">
        <v>199</v>
      </c>
      <c r="G11" s="12">
        <v>600000</v>
      </c>
      <c r="H11" s="12">
        <v>22500</v>
      </c>
      <c r="I11" s="12">
        <v>11250</v>
      </c>
      <c r="J11" s="12">
        <v>10900</v>
      </c>
      <c r="K11" s="12">
        <v>2500</v>
      </c>
      <c r="L11" s="5" t="s">
        <v>165</v>
      </c>
      <c r="M11" s="5" t="s">
        <v>166</v>
      </c>
    </row>
    <row r="12" spans="1:13" ht="19.5" customHeight="1" x14ac:dyDescent="0.25">
      <c r="A12" s="16">
        <v>9</v>
      </c>
      <c r="B12" s="16" t="s">
        <v>200</v>
      </c>
      <c r="C12" s="17" t="s">
        <v>201</v>
      </c>
      <c r="D12" s="18" t="s">
        <v>202</v>
      </c>
      <c r="E12" s="18" t="s">
        <v>185</v>
      </c>
      <c r="F12" s="19" t="s">
        <v>203</v>
      </c>
      <c r="G12" s="12">
        <v>360000</v>
      </c>
      <c r="H12" s="12">
        <v>13500</v>
      </c>
      <c r="I12" s="12">
        <v>6750</v>
      </c>
      <c r="J12" s="12">
        <v>5400</v>
      </c>
      <c r="K12" s="12">
        <v>1500</v>
      </c>
      <c r="L12" s="5" t="s">
        <v>165</v>
      </c>
      <c r="M12" s="5" t="s">
        <v>166</v>
      </c>
    </row>
    <row r="13" spans="1:13" ht="19.5" customHeight="1" x14ac:dyDescent="0.25">
      <c r="A13" s="9">
        <v>10</v>
      </c>
      <c r="B13" s="9" t="s">
        <v>204</v>
      </c>
      <c r="C13" s="3" t="s">
        <v>205</v>
      </c>
      <c r="D13" s="20" t="s">
        <v>206</v>
      </c>
      <c r="E13" s="20" t="s">
        <v>180</v>
      </c>
      <c r="F13" s="21" t="s">
        <v>207</v>
      </c>
      <c r="G13" s="12">
        <v>300000</v>
      </c>
      <c r="H13" s="12">
        <v>11250</v>
      </c>
      <c r="I13" s="12">
        <v>5625</v>
      </c>
      <c r="J13" s="12">
        <v>4025</v>
      </c>
      <c r="K13" s="12">
        <v>1250</v>
      </c>
      <c r="L13" s="5" t="s">
        <v>165</v>
      </c>
      <c r="M13" s="5" t="s">
        <v>166</v>
      </c>
    </row>
    <row r="14" spans="1:13" ht="19.5" customHeight="1" x14ac:dyDescent="0.25">
      <c r="A14" s="16">
        <v>11</v>
      </c>
      <c r="B14" s="16" t="s">
        <v>208</v>
      </c>
      <c r="C14" s="17" t="s">
        <v>209</v>
      </c>
      <c r="D14" s="18" t="s">
        <v>210</v>
      </c>
      <c r="E14" s="18" t="s">
        <v>163</v>
      </c>
      <c r="F14" s="19" t="s">
        <v>211</v>
      </c>
      <c r="G14" s="12">
        <v>660000</v>
      </c>
      <c r="H14" s="12">
        <v>24750</v>
      </c>
      <c r="I14" s="12">
        <v>12375</v>
      </c>
      <c r="J14" s="12">
        <v>12275</v>
      </c>
      <c r="K14" s="12">
        <v>2750</v>
      </c>
      <c r="L14" s="5" t="s">
        <v>165</v>
      </c>
      <c r="M14" s="5" t="s">
        <v>166</v>
      </c>
    </row>
    <row r="15" spans="1:13" ht="19.5" customHeight="1" x14ac:dyDescent="0.25">
      <c r="A15" s="9">
        <v>12</v>
      </c>
      <c r="B15" s="9" t="s">
        <v>212</v>
      </c>
      <c r="C15" s="3" t="s">
        <v>213</v>
      </c>
      <c r="D15" s="20" t="s">
        <v>214</v>
      </c>
      <c r="E15" s="20" t="s">
        <v>170</v>
      </c>
      <c r="F15" s="21" t="s">
        <v>215</v>
      </c>
      <c r="G15" s="12">
        <v>540000</v>
      </c>
      <c r="H15" s="12">
        <v>20250</v>
      </c>
      <c r="I15" s="12">
        <v>10125</v>
      </c>
      <c r="J15" s="12">
        <v>9525</v>
      </c>
      <c r="K15" s="12">
        <v>2250</v>
      </c>
      <c r="L15" s="5" t="s">
        <v>165</v>
      </c>
      <c r="M15" s="5" t="s">
        <v>166</v>
      </c>
    </row>
    <row r="16" spans="1:13" ht="19.5" customHeight="1" x14ac:dyDescent="0.25">
      <c r="A16" s="16">
        <v>13</v>
      </c>
      <c r="B16" s="16" t="s">
        <v>216</v>
      </c>
      <c r="C16" s="17" t="s">
        <v>217</v>
      </c>
      <c r="D16" s="18" t="s">
        <v>218</v>
      </c>
      <c r="E16" s="18" t="s">
        <v>185</v>
      </c>
      <c r="F16" s="19" t="s">
        <v>219</v>
      </c>
      <c r="G16" s="12">
        <v>420000</v>
      </c>
      <c r="H16" s="12">
        <v>15750</v>
      </c>
      <c r="I16" s="12">
        <v>7875</v>
      </c>
      <c r="J16" s="12">
        <v>6775</v>
      </c>
      <c r="K16" s="12">
        <v>1750</v>
      </c>
      <c r="L16" s="5" t="s">
        <v>165</v>
      </c>
      <c r="M16" s="5" t="s">
        <v>166</v>
      </c>
    </row>
    <row r="17" spans="1:13" ht="19.5" customHeight="1" x14ac:dyDescent="0.25">
      <c r="A17" s="9">
        <v>14</v>
      </c>
      <c r="B17" s="9" t="s">
        <v>220</v>
      </c>
      <c r="C17" s="3" t="s">
        <v>221</v>
      </c>
      <c r="D17" s="20" t="s">
        <v>222</v>
      </c>
      <c r="E17" s="20" t="s">
        <v>223</v>
      </c>
      <c r="F17" s="21" t="s">
        <v>224</v>
      </c>
      <c r="G17" s="12">
        <v>300000</v>
      </c>
      <c r="H17" s="12">
        <v>11250</v>
      </c>
      <c r="I17" s="12">
        <v>5625</v>
      </c>
      <c r="J17" s="12">
        <v>4025</v>
      </c>
      <c r="K17" s="12">
        <v>1250</v>
      </c>
      <c r="L17" s="5" t="s">
        <v>165</v>
      </c>
      <c r="M17" s="5" t="s">
        <v>166</v>
      </c>
    </row>
    <row r="18" spans="1:13" ht="19.5" customHeight="1" x14ac:dyDescent="0.25">
      <c r="A18" s="16">
        <v>15</v>
      </c>
      <c r="B18" s="16" t="s">
        <v>225</v>
      </c>
      <c r="C18" s="17" t="s">
        <v>226</v>
      </c>
      <c r="D18" s="18" t="s">
        <v>227</v>
      </c>
      <c r="E18" s="18" t="s">
        <v>175</v>
      </c>
      <c r="F18" s="19" t="s">
        <v>228</v>
      </c>
      <c r="G18" s="12">
        <v>480000</v>
      </c>
      <c r="H18" s="12">
        <v>18000</v>
      </c>
      <c r="I18" s="12">
        <v>9000</v>
      </c>
      <c r="J18" s="12">
        <v>8150</v>
      </c>
      <c r="K18" s="12">
        <v>2000</v>
      </c>
      <c r="L18" s="5" t="s">
        <v>165</v>
      </c>
      <c r="M18" s="5" t="s">
        <v>166</v>
      </c>
    </row>
    <row r="19" spans="1:13" ht="21.75" customHeight="1" x14ac:dyDescent="0.25">
      <c r="A19" s="26" t="s">
        <v>229</v>
      </c>
      <c r="B19" s="26"/>
      <c r="C19" s="26"/>
      <c r="D19" s="26"/>
      <c r="E19" s="26"/>
      <c r="F19" s="26"/>
      <c r="G19" s="22">
        <f>SUM(G4:G18)</f>
        <v>9300000</v>
      </c>
      <c r="H19" s="22">
        <f>SUM(H4:H18)</f>
        <v>367500</v>
      </c>
      <c r="I19" s="22">
        <f>SUM(I4:I18)</f>
        <v>183750</v>
      </c>
      <c r="J19" s="23"/>
      <c r="K19" s="23"/>
      <c r="L19" s="23"/>
      <c r="M19" s="23"/>
    </row>
    <row r="21" spans="1:13" ht="15" customHeight="1" x14ac:dyDescent="0.25">
      <c r="A21" s="25" t="s">
        <v>230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</row>
  </sheetData>
  <mergeCells count="4">
    <mergeCell ref="A1:M1"/>
    <mergeCell ref="A2:M2"/>
    <mergeCell ref="A19:F19"/>
    <mergeCell ref="A21:M21"/>
  </mergeCells>
  <pageMargins left="0.75" right="0.75" top="1" bottom="1" header="0.511811023622047" footer="0.511811023622047"/>
  <pageSetup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117A65"/>
  </sheetPr>
  <dimension ref="A1:V23"/>
  <sheetViews>
    <sheetView zoomScaleNormal="100" workbookViewId="0">
      <pane xSplit="4" ySplit="5" topLeftCell="L6" activePane="bottomRight" state="frozen"/>
      <selection pane="topRight" activeCell="E1" sqref="E1"/>
      <selection pane="bottomLeft" activeCell="A6" sqref="A6"/>
      <selection pane="bottomRight" sqref="A1:V1"/>
    </sheetView>
  </sheetViews>
  <sheetFormatPr defaultColWidth="8.7109375" defaultRowHeight="15" x14ac:dyDescent="0.25"/>
  <cols>
    <col min="1" max="1" width="5" style="35" customWidth="1"/>
    <col min="2" max="2" width="14" style="35" customWidth="1"/>
    <col min="3" max="3" width="22" style="35" customWidth="1"/>
    <col min="4" max="4" width="13" style="35" customWidth="1"/>
    <col min="5" max="8" width="12" style="35" customWidth="1"/>
    <col min="9" max="12" width="14" style="35" customWidth="1"/>
    <col min="13" max="13" width="12" style="35" customWidth="1"/>
    <col min="14" max="15" width="14" style="35" customWidth="1"/>
    <col min="16" max="20" width="12" style="35" customWidth="1"/>
    <col min="21" max="21" width="14" style="35" customWidth="1"/>
    <col min="22" max="22" width="12" style="35" customWidth="1"/>
    <col min="23" max="16384" width="8.7109375" style="35"/>
  </cols>
  <sheetData>
    <row r="1" spans="1:22" ht="30" customHeight="1" x14ac:dyDescent="0.25">
      <c r="A1" s="104" t="s">
        <v>231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</row>
    <row r="2" spans="1:22" ht="15" customHeight="1" x14ac:dyDescent="0.25">
      <c r="A2" s="36" t="s">
        <v>232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spans="1:22" ht="21.75" customHeight="1" x14ac:dyDescent="0.25">
      <c r="A3" s="90" t="s">
        <v>233</v>
      </c>
      <c r="B3" s="90"/>
      <c r="C3" s="90"/>
      <c r="D3" s="90"/>
      <c r="E3" s="91" t="s">
        <v>8</v>
      </c>
      <c r="F3" s="92" t="s">
        <v>234</v>
      </c>
      <c r="G3" s="92"/>
      <c r="H3" s="92"/>
    </row>
    <row r="4" spans="1:22" ht="21.75" customHeight="1" x14ac:dyDescent="0.25">
      <c r="A4" s="37" t="s">
        <v>235</v>
      </c>
      <c r="B4" s="37"/>
      <c r="C4" s="37"/>
      <c r="D4" s="37"/>
      <c r="E4" s="37"/>
      <c r="F4" s="37"/>
      <c r="G4" s="37"/>
      <c r="H4" s="37"/>
      <c r="I4" s="93" t="s">
        <v>236</v>
      </c>
      <c r="J4" s="93"/>
      <c r="K4" s="93"/>
      <c r="L4" s="93"/>
      <c r="M4" s="93"/>
      <c r="N4" s="93"/>
      <c r="O4" s="93"/>
      <c r="P4" s="47" t="s">
        <v>237</v>
      </c>
      <c r="Q4" s="47"/>
      <c r="R4" s="47"/>
      <c r="S4" s="47"/>
      <c r="T4" s="47"/>
      <c r="U4" s="47"/>
      <c r="V4" s="47"/>
    </row>
    <row r="5" spans="1:22" ht="31.5" customHeight="1" x14ac:dyDescent="0.25">
      <c r="A5" s="94" t="s">
        <v>147</v>
      </c>
      <c r="B5" s="94" t="s">
        <v>238</v>
      </c>
      <c r="C5" s="94" t="s">
        <v>149</v>
      </c>
      <c r="D5" s="94" t="s">
        <v>151</v>
      </c>
      <c r="E5" s="94" t="s">
        <v>239</v>
      </c>
      <c r="F5" s="94" t="s">
        <v>240</v>
      </c>
      <c r="G5" s="94" t="s">
        <v>241</v>
      </c>
      <c r="H5" s="94" t="s">
        <v>242</v>
      </c>
      <c r="I5" s="94" t="s">
        <v>243</v>
      </c>
      <c r="J5" s="94" t="s">
        <v>244</v>
      </c>
      <c r="K5" s="94" t="s">
        <v>245</v>
      </c>
      <c r="L5" s="94" t="s">
        <v>246</v>
      </c>
      <c r="M5" s="94" t="s">
        <v>247</v>
      </c>
      <c r="N5" s="94" t="s">
        <v>248</v>
      </c>
      <c r="O5" s="94" t="s">
        <v>249</v>
      </c>
      <c r="P5" s="94" t="s">
        <v>250</v>
      </c>
      <c r="Q5" s="94" t="s">
        <v>251</v>
      </c>
      <c r="R5" s="94" t="s">
        <v>252</v>
      </c>
      <c r="S5" s="94" t="s">
        <v>253</v>
      </c>
      <c r="T5" s="94" t="s">
        <v>254</v>
      </c>
      <c r="U5" s="94" t="s">
        <v>255</v>
      </c>
      <c r="V5" s="94" t="s">
        <v>256</v>
      </c>
    </row>
    <row r="6" spans="1:22" ht="19.5" customHeight="1" x14ac:dyDescent="0.25">
      <c r="A6" s="95">
        <v>1</v>
      </c>
      <c r="B6" s="95" t="str">
        <f>'👥 EMPLOYEE MASTER'!B4</f>
        <v>E001</v>
      </c>
      <c r="C6" s="56" t="str">
        <f>'👥 EMPLOYEE MASTER'!C4</f>
        <v>Rajesh Kumar Sharma</v>
      </c>
      <c r="D6" s="56" t="str">
        <f>'👥 EMPLOYEE MASTER'!E4</f>
        <v>Operations</v>
      </c>
      <c r="E6" s="96">
        <v>26</v>
      </c>
      <c r="F6" s="96">
        <v>26</v>
      </c>
      <c r="G6" s="96">
        <v>0</v>
      </c>
      <c r="H6" s="96">
        <v>0</v>
      </c>
      <c r="I6" s="58">
        <f>IFERROR(ROUND('👥 EMPLOYEE MASTER'!H4*(F6+G6)/E6,0),0)</f>
        <v>75000</v>
      </c>
      <c r="J6" s="58">
        <f>IFERROR(ROUND('👥 EMPLOYEE MASTER'!I4*(F6+G6)/E6,0),0)</f>
        <v>37500</v>
      </c>
      <c r="K6" s="58">
        <f>IFERROR(ROUND('👥 EMPLOYEE MASTER'!J4*(F6+G6)/E6,0),0)</f>
        <v>7500</v>
      </c>
      <c r="L6" s="58">
        <f>IFERROR(ROUND('👥 EMPLOYEE MASTER'!K4*(F6+G6)/E6,0),0)</f>
        <v>5000</v>
      </c>
      <c r="M6" s="58">
        <f t="shared" ref="M6:M20" si="0">IFERROR(ROUND(1600*(F6+G6)/E6,0),0)</f>
        <v>1600</v>
      </c>
      <c r="N6" s="58">
        <f t="shared" ref="N6:N20" si="1">IFERROR(ROUND(1250*(F6+G6)/E6,0),0)</f>
        <v>1250</v>
      </c>
      <c r="O6" s="97">
        <f t="shared" ref="O6:O20" si="2">I6+J6+K6+L6+M6+N6</f>
        <v>127850</v>
      </c>
      <c r="P6" s="98">
        <f>IFERROR(ROUND(I6*'⚙ PAYROLL SETUP'!B5,0),0)</f>
        <v>9000</v>
      </c>
      <c r="Q6" s="98">
        <f>IFERROR(IF(O6&lt;='⚙ PAYROLL SETUP'!B12,ROUND(O6*'⚙ PAYROLL SETUP'!B8,0),0),0)</f>
        <v>0</v>
      </c>
      <c r="R6" s="98">
        <f>IF(O6&gt;10000,'⚙ PAYROLL SETUP'!B10,0)</f>
        <v>200</v>
      </c>
      <c r="S6" s="61">
        <f>IFERROR(ROUND(((IF(MAX(0,(O6*12)-'⚙ PAYROLL SETUP'!B45)&lt;='⚙ PAYROLL SETUP'!B46,0,MIN((MAX(0,MIN(MAX(0,(O6*12)-'⚙ PAYROLL SETUP'!B45),'⚙ PAYROLL SETUP'!B38)-'⚙ PAYROLL SETUP'!A38)*'⚙ PAYROLL SETUP'!C38+MAX(0,MIN(MAX(0,(O6*12)-'⚙ PAYROLL SETUP'!B45),'⚙ PAYROLL SETUP'!B39)-'⚙ PAYROLL SETUP'!A39)*'⚙ PAYROLL SETUP'!C39+MAX(0,MIN(MAX(0,(O6*12)-'⚙ PAYROLL SETUP'!B45),'⚙ PAYROLL SETUP'!B40)-'⚙ PAYROLL SETUP'!A40)*'⚙ PAYROLL SETUP'!C40+MAX(0,MIN(MAX(0,(O6*12)-'⚙ PAYROLL SETUP'!B45),'⚙ PAYROLL SETUP'!B41)-'⚙ PAYROLL SETUP'!A41)*'⚙ PAYROLL SETUP'!C41+MAX(0,MIN(MAX(0,(O6*12)-'⚙ PAYROLL SETUP'!B45),'⚙ PAYROLL SETUP'!B42)-'⚙ PAYROLL SETUP'!A42)*'⚙ PAYROLL SETUP'!C42+MAX(0,MIN(MAX(0,(O6*12)-'⚙ PAYROLL SETUP'!B45),'⚙ PAYROLL SETUP'!B43)-'⚙ PAYROLL SETUP'!A43)*'⚙ PAYROLL SETUP'!C43+MAX(0,MIN(MAX(0,(O6*12)-'⚙ PAYROLL SETUP'!B45),'⚙ PAYROLL SETUP'!B44)-'⚙ PAYROLL SETUP'!A44)*'⚙ PAYROLL SETUP'!C44),MAX(0,(O6*12)-'⚙ PAYROLL SETUP'!B45)-'⚙ PAYROLL SETUP'!B46)))*(1+'⚙ PAYROLL SETUP'!B47))/12,0),0)</f>
        <v>8570</v>
      </c>
      <c r="T6" s="99">
        <v>0</v>
      </c>
      <c r="U6" s="100">
        <f t="shared" ref="U6:U20" si="3">P6+Q6+R6+S6+T6</f>
        <v>17770</v>
      </c>
      <c r="V6" s="101">
        <f t="shared" ref="V6:V20" si="4">O6-U6</f>
        <v>110080</v>
      </c>
    </row>
    <row r="7" spans="1:22" ht="19.5" customHeight="1" x14ac:dyDescent="0.25">
      <c r="A7" s="102">
        <v>2</v>
      </c>
      <c r="B7" s="102" t="str">
        <f>'👥 EMPLOYEE MASTER'!B5</f>
        <v>E002</v>
      </c>
      <c r="C7" s="39" t="str">
        <f>'👥 EMPLOYEE MASTER'!C5</f>
        <v>Priya Venkataraman</v>
      </c>
      <c r="D7" s="39" t="str">
        <f>'👥 EMPLOYEE MASTER'!E5</f>
        <v>Finance</v>
      </c>
      <c r="E7" s="96">
        <v>26</v>
      </c>
      <c r="F7" s="96">
        <v>26</v>
      </c>
      <c r="G7" s="96">
        <v>0</v>
      </c>
      <c r="H7" s="96">
        <v>0</v>
      </c>
      <c r="I7" s="61">
        <f>IFERROR(ROUND('👥 EMPLOYEE MASTER'!H5*(F7+G7)/E7,0),0)</f>
        <v>33750</v>
      </c>
      <c r="J7" s="61">
        <f>IFERROR(ROUND('👥 EMPLOYEE MASTER'!I5*(F7+G7)/E7,0),0)</f>
        <v>16875</v>
      </c>
      <c r="K7" s="61">
        <f>IFERROR(ROUND('👥 EMPLOYEE MASTER'!J5*(F7+G7)/E7,0),0)</f>
        <v>17775</v>
      </c>
      <c r="L7" s="61">
        <f>IFERROR(ROUND('👥 EMPLOYEE MASTER'!K5*(F7+G7)/E7,0),0)</f>
        <v>3750</v>
      </c>
      <c r="M7" s="61">
        <f t="shared" si="0"/>
        <v>1600</v>
      </c>
      <c r="N7" s="61">
        <f t="shared" si="1"/>
        <v>1250</v>
      </c>
      <c r="O7" s="97">
        <f t="shared" si="2"/>
        <v>75000</v>
      </c>
      <c r="P7" s="98">
        <f>IFERROR(ROUND(I7*'⚙ PAYROLL SETUP'!B5,0),0)</f>
        <v>4050</v>
      </c>
      <c r="Q7" s="98">
        <f>IFERROR(IF(O7&lt;='⚙ PAYROLL SETUP'!B12,ROUND(O7*'⚙ PAYROLL SETUP'!B8,0),0),0)</f>
        <v>0</v>
      </c>
      <c r="R7" s="98">
        <f>IF(O7&gt;10000,'⚙ PAYROLL SETUP'!B10,0)</f>
        <v>200</v>
      </c>
      <c r="S7" s="61">
        <f>IFERROR(ROUND(((IF(MAX(0,(O7*12)-'⚙ PAYROLL SETUP'!B45)&lt;='⚙ PAYROLL SETUP'!B46,0,MIN((MAX(0,MIN(MAX(0,(O7*12)-'⚙ PAYROLL SETUP'!B45),'⚙ PAYROLL SETUP'!B38)-'⚙ PAYROLL SETUP'!A38)*'⚙ PAYROLL SETUP'!C38+MAX(0,MIN(MAX(0,(O7*12)-'⚙ PAYROLL SETUP'!B45),'⚙ PAYROLL SETUP'!B39)-'⚙ PAYROLL SETUP'!A39)*'⚙ PAYROLL SETUP'!C39+MAX(0,MIN(MAX(0,(O7*12)-'⚙ PAYROLL SETUP'!B45),'⚙ PAYROLL SETUP'!B40)-'⚙ PAYROLL SETUP'!A40)*'⚙ PAYROLL SETUP'!C40+MAX(0,MIN(MAX(0,(O7*12)-'⚙ PAYROLL SETUP'!B45),'⚙ PAYROLL SETUP'!B41)-'⚙ PAYROLL SETUP'!A41)*'⚙ PAYROLL SETUP'!C41+MAX(0,MIN(MAX(0,(O7*12)-'⚙ PAYROLL SETUP'!B45),'⚙ PAYROLL SETUP'!B42)-'⚙ PAYROLL SETUP'!A42)*'⚙ PAYROLL SETUP'!C42+MAX(0,MIN(MAX(0,(O7*12)-'⚙ PAYROLL SETUP'!B45),'⚙ PAYROLL SETUP'!B43)-'⚙ PAYROLL SETUP'!A43)*'⚙ PAYROLL SETUP'!C43+MAX(0,MIN(MAX(0,(O7*12)-'⚙ PAYROLL SETUP'!B45),'⚙ PAYROLL SETUP'!B44)-'⚙ PAYROLL SETUP'!A44)*'⚙ PAYROLL SETUP'!C44),MAX(0,(O7*12)-'⚙ PAYROLL SETUP'!B45)-'⚙ PAYROLL SETUP'!B46)))*(1+'⚙ PAYROLL SETUP'!B47))/12,0),0)</f>
        <v>0</v>
      </c>
      <c r="T7" s="99">
        <v>0</v>
      </c>
      <c r="U7" s="100">
        <f t="shared" si="3"/>
        <v>4250</v>
      </c>
      <c r="V7" s="101">
        <f t="shared" si="4"/>
        <v>70750</v>
      </c>
    </row>
    <row r="8" spans="1:22" ht="19.5" customHeight="1" x14ac:dyDescent="0.25">
      <c r="A8" s="95">
        <v>3</v>
      </c>
      <c r="B8" s="95" t="str">
        <f>'👥 EMPLOYEE MASTER'!B6</f>
        <v>E003</v>
      </c>
      <c r="C8" s="56" t="str">
        <f>'👥 EMPLOYEE MASTER'!C6</f>
        <v>Amit Singh Rathore</v>
      </c>
      <c r="D8" s="56" t="str">
        <f>'👥 EMPLOYEE MASTER'!E6</f>
        <v>Technology</v>
      </c>
      <c r="E8" s="96">
        <v>26</v>
      </c>
      <c r="F8" s="96">
        <v>25</v>
      </c>
      <c r="G8" s="96">
        <v>0</v>
      </c>
      <c r="H8" s="96">
        <v>1</v>
      </c>
      <c r="I8" s="58">
        <f>IFERROR(ROUND('👥 EMPLOYEE MASTER'!H6*(F8+G8)/E8,0),0)</f>
        <v>28125</v>
      </c>
      <c r="J8" s="58">
        <f>IFERROR(ROUND('👥 EMPLOYEE MASTER'!I6*(F8+G8)/E8,0),0)</f>
        <v>14063</v>
      </c>
      <c r="K8" s="58">
        <f>IFERROR(ROUND('👥 EMPLOYEE MASTER'!J6*(F8+G8)/E8,0),0)</f>
        <v>14447</v>
      </c>
      <c r="L8" s="58">
        <f>IFERROR(ROUND('👥 EMPLOYEE MASTER'!K6*(F8+G8)/E8,0),0)</f>
        <v>3125</v>
      </c>
      <c r="M8" s="58">
        <f t="shared" si="0"/>
        <v>1538</v>
      </c>
      <c r="N8" s="58">
        <f t="shared" si="1"/>
        <v>1202</v>
      </c>
      <c r="O8" s="97">
        <f t="shared" si="2"/>
        <v>62500</v>
      </c>
      <c r="P8" s="98">
        <f>IFERROR(ROUND(I8*'⚙ PAYROLL SETUP'!B5,0),0)</f>
        <v>3375</v>
      </c>
      <c r="Q8" s="98">
        <f>IFERROR(IF(O8&lt;='⚙ PAYROLL SETUP'!B12,ROUND(O8*'⚙ PAYROLL SETUP'!B8,0),0),0)</f>
        <v>0</v>
      </c>
      <c r="R8" s="98">
        <f>IF(O8&gt;10000,'⚙ PAYROLL SETUP'!B10,0)</f>
        <v>200</v>
      </c>
      <c r="S8" s="61">
        <f>IFERROR(ROUND(((IF(MAX(0,(O8*12)-'⚙ PAYROLL SETUP'!B45)&lt;='⚙ PAYROLL SETUP'!B46,0,MIN((MAX(0,MIN(MAX(0,(O8*12)-'⚙ PAYROLL SETUP'!B45),'⚙ PAYROLL SETUP'!B38)-'⚙ PAYROLL SETUP'!A38)*'⚙ PAYROLL SETUP'!C38+MAX(0,MIN(MAX(0,(O8*12)-'⚙ PAYROLL SETUP'!B45),'⚙ PAYROLL SETUP'!B39)-'⚙ PAYROLL SETUP'!A39)*'⚙ PAYROLL SETUP'!C39+MAX(0,MIN(MAX(0,(O8*12)-'⚙ PAYROLL SETUP'!B45),'⚙ PAYROLL SETUP'!B40)-'⚙ PAYROLL SETUP'!A40)*'⚙ PAYROLL SETUP'!C40+MAX(0,MIN(MAX(0,(O8*12)-'⚙ PAYROLL SETUP'!B45),'⚙ PAYROLL SETUP'!B41)-'⚙ PAYROLL SETUP'!A41)*'⚙ PAYROLL SETUP'!C41+MAX(0,MIN(MAX(0,(O8*12)-'⚙ PAYROLL SETUP'!B45),'⚙ PAYROLL SETUP'!B42)-'⚙ PAYROLL SETUP'!A42)*'⚙ PAYROLL SETUP'!C42+MAX(0,MIN(MAX(0,(O8*12)-'⚙ PAYROLL SETUP'!B45),'⚙ PAYROLL SETUP'!B43)-'⚙ PAYROLL SETUP'!A43)*'⚙ PAYROLL SETUP'!C43+MAX(0,MIN(MAX(0,(O8*12)-'⚙ PAYROLL SETUP'!B45),'⚙ PAYROLL SETUP'!B44)-'⚙ PAYROLL SETUP'!A44)*'⚙ PAYROLL SETUP'!C44),MAX(0,(O8*12)-'⚙ PAYROLL SETUP'!B45)-'⚙ PAYROLL SETUP'!B46)))*(1+'⚙ PAYROLL SETUP'!B47))/12,0),0)</f>
        <v>0</v>
      </c>
      <c r="T8" s="99">
        <v>0</v>
      </c>
      <c r="U8" s="100">
        <f t="shared" si="3"/>
        <v>3575</v>
      </c>
      <c r="V8" s="101">
        <f t="shared" si="4"/>
        <v>58925</v>
      </c>
    </row>
    <row r="9" spans="1:22" ht="19.5" customHeight="1" x14ac:dyDescent="0.25">
      <c r="A9" s="102">
        <v>4</v>
      </c>
      <c r="B9" s="102" t="str">
        <f>'👥 EMPLOYEE MASTER'!B7</f>
        <v>E004</v>
      </c>
      <c r="C9" s="39" t="str">
        <f>'👥 EMPLOYEE MASTER'!C7</f>
        <v>Sunita Menon</v>
      </c>
      <c r="D9" s="39" t="str">
        <f>'👥 EMPLOYEE MASTER'!E7</f>
        <v>HR</v>
      </c>
      <c r="E9" s="96">
        <v>26</v>
      </c>
      <c r="F9" s="96">
        <v>26</v>
      </c>
      <c r="G9" s="96">
        <v>0</v>
      </c>
      <c r="H9" s="96">
        <v>0</v>
      </c>
      <c r="I9" s="61">
        <f>IFERROR(ROUND('👥 EMPLOYEE MASTER'!H7*(F9+G9)/E9,0),0)</f>
        <v>27000</v>
      </c>
      <c r="J9" s="61">
        <f>IFERROR(ROUND('👥 EMPLOYEE MASTER'!I7*(F9+G9)/E9,0),0)</f>
        <v>13500</v>
      </c>
      <c r="K9" s="61">
        <f>IFERROR(ROUND('👥 EMPLOYEE MASTER'!J7*(F9+G9)/E9,0),0)</f>
        <v>13650</v>
      </c>
      <c r="L9" s="61">
        <f>IFERROR(ROUND('👥 EMPLOYEE MASTER'!K7*(F9+G9)/E9,0),0)</f>
        <v>3000</v>
      </c>
      <c r="M9" s="61">
        <f t="shared" si="0"/>
        <v>1600</v>
      </c>
      <c r="N9" s="61">
        <f t="shared" si="1"/>
        <v>1250</v>
      </c>
      <c r="O9" s="97">
        <f t="shared" si="2"/>
        <v>60000</v>
      </c>
      <c r="P9" s="98">
        <f>IFERROR(ROUND(I9*'⚙ PAYROLL SETUP'!B5,0),0)</f>
        <v>3240</v>
      </c>
      <c r="Q9" s="98">
        <f>IFERROR(IF(O9&lt;='⚙ PAYROLL SETUP'!B12,ROUND(O9*'⚙ PAYROLL SETUP'!B8,0),0),0)</f>
        <v>0</v>
      </c>
      <c r="R9" s="98">
        <f>IF(O9&gt;10000,'⚙ PAYROLL SETUP'!B10,0)</f>
        <v>200</v>
      </c>
      <c r="S9" s="61">
        <f>IFERROR(ROUND(((IF(MAX(0,(O9*12)-'⚙ PAYROLL SETUP'!B45)&lt;='⚙ PAYROLL SETUP'!B46,0,MIN((MAX(0,MIN(MAX(0,(O9*12)-'⚙ PAYROLL SETUP'!B45),'⚙ PAYROLL SETUP'!B38)-'⚙ PAYROLL SETUP'!A38)*'⚙ PAYROLL SETUP'!C38+MAX(0,MIN(MAX(0,(O9*12)-'⚙ PAYROLL SETUP'!B45),'⚙ PAYROLL SETUP'!B39)-'⚙ PAYROLL SETUP'!A39)*'⚙ PAYROLL SETUP'!C39+MAX(0,MIN(MAX(0,(O9*12)-'⚙ PAYROLL SETUP'!B45),'⚙ PAYROLL SETUP'!B40)-'⚙ PAYROLL SETUP'!A40)*'⚙ PAYROLL SETUP'!C40+MAX(0,MIN(MAX(0,(O9*12)-'⚙ PAYROLL SETUP'!B45),'⚙ PAYROLL SETUP'!B41)-'⚙ PAYROLL SETUP'!A41)*'⚙ PAYROLL SETUP'!C41+MAX(0,MIN(MAX(0,(O9*12)-'⚙ PAYROLL SETUP'!B45),'⚙ PAYROLL SETUP'!B42)-'⚙ PAYROLL SETUP'!A42)*'⚙ PAYROLL SETUP'!C42+MAX(0,MIN(MAX(0,(O9*12)-'⚙ PAYROLL SETUP'!B45),'⚙ PAYROLL SETUP'!B43)-'⚙ PAYROLL SETUP'!A43)*'⚙ PAYROLL SETUP'!C43+MAX(0,MIN(MAX(0,(O9*12)-'⚙ PAYROLL SETUP'!B45),'⚙ PAYROLL SETUP'!B44)-'⚙ PAYROLL SETUP'!A44)*'⚙ PAYROLL SETUP'!C44),MAX(0,(O9*12)-'⚙ PAYROLL SETUP'!B45)-'⚙ PAYROLL SETUP'!B46)))*(1+'⚙ PAYROLL SETUP'!B47))/12,0),0)</f>
        <v>0</v>
      </c>
      <c r="T9" s="99">
        <v>0</v>
      </c>
      <c r="U9" s="100">
        <f t="shared" si="3"/>
        <v>3440</v>
      </c>
      <c r="V9" s="101">
        <f t="shared" si="4"/>
        <v>56560</v>
      </c>
    </row>
    <row r="10" spans="1:22" ht="19.5" customHeight="1" x14ac:dyDescent="0.25">
      <c r="A10" s="95">
        <v>5</v>
      </c>
      <c r="B10" s="95" t="str">
        <f>'👥 EMPLOYEE MASTER'!B8</f>
        <v>E005</v>
      </c>
      <c r="C10" s="56" t="str">
        <f>'👥 EMPLOYEE MASTER'!C8</f>
        <v>Mohammed Iqbal Khan</v>
      </c>
      <c r="D10" s="56" t="str">
        <f>'👥 EMPLOYEE MASTER'!E8</f>
        <v>Sales</v>
      </c>
      <c r="E10" s="96">
        <v>26</v>
      </c>
      <c r="F10" s="96">
        <v>24</v>
      </c>
      <c r="G10" s="96">
        <v>0</v>
      </c>
      <c r="H10" s="96">
        <v>2</v>
      </c>
      <c r="I10" s="58">
        <f>IFERROR(ROUND('👥 EMPLOYEE MASTER'!H8*(F10+G10)/E10,0),0)</f>
        <v>29077</v>
      </c>
      <c r="J10" s="58">
        <f>IFERROR(ROUND('👥 EMPLOYEE MASTER'!I8*(F10+G10)/E10,0),0)</f>
        <v>14538</v>
      </c>
      <c r="K10" s="58">
        <f>IFERROR(ROUND('👥 EMPLOYEE MASTER'!J8*(F10+G10)/E10,0),0)</f>
        <v>15138</v>
      </c>
      <c r="L10" s="58">
        <f>IFERROR(ROUND('👥 EMPLOYEE MASTER'!K8*(F10+G10)/E10,0),0)</f>
        <v>3231</v>
      </c>
      <c r="M10" s="58">
        <f t="shared" si="0"/>
        <v>1477</v>
      </c>
      <c r="N10" s="58">
        <f t="shared" si="1"/>
        <v>1154</v>
      </c>
      <c r="O10" s="97">
        <f t="shared" si="2"/>
        <v>64615</v>
      </c>
      <c r="P10" s="98">
        <f>IFERROR(ROUND(I10*'⚙ PAYROLL SETUP'!B5,0),0)</f>
        <v>3489</v>
      </c>
      <c r="Q10" s="98">
        <f>IFERROR(IF(O10&lt;='⚙ PAYROLL SETUP'!B12,ROUND(O10*'⚙ PAYROLL SETUP'!B8,0),0),0)</f>
        <v>0</v>
      </c>
      <c r="R10" s="98">
        <f>IF(O10&gt;10000,'⚙ PAYROLL SETUP'!B10,0)</f>
        <v>200</v>
      </c>
      <c r="S10" s="61">
        <f>IFERROR(ROUND(((IF(MAX(0,(O10*12)-'⚙ PAYROLL SETUP'!B45)&lt;='⚙ PAYROLL SETUP'!B46,0,MIN((MAX(0,MIN(MAX(0,(O10*12)-'⚙ PAYROLL SETUP'!B45),'⚙ PAYROLL SETUP'!B38)-'⚙ PAYROLL SETUP'!A38)*'⚙ PAYROLL SETUP'!C38+MAX(0,MIN(MAX(0,(O10*12)-'⚙ PAYROLL SETUP'!B45),'⚙ PAYROLL SETUP'!B39)-'⚙ PAYROLL SETUP'!A39)*'⚙ PAYROLL SETUP'!C39+MAX(0,MIN(MAX(0,(O10*12)-'⚙ PAYROLL SETUP'!B45),'⚙ PAYROLL SETUP'!B40)-'⚙ PAYROLL SETUP'!A40)*'⚙ PAYROLL SETUP'!C40+MAX(0,MIN(MAX(0,(O10*12)-'⚙ PAYROLL SETUP'!B45),'⚙ PAYROLL SETUP'!B41)-'⚙ PAYROLL SETUP'!A41)*'⚙ PAYROLL SETUP'!C41+MAX(0,MIN(MAX(0,(O10*12)-'⚙ PAYROLL SETUP'!B45),'⚙ PAYROLL SETUP'!B42)-'⚙ PAYROLL SETUP'!A42)*'⚙ PAYROLL SETUP'!C42+MAX(0,MIN(MAX(0,(O10*12)-'⚙ PAYROLL SETUP'!B45),'⚙ PAYROLL SETUP'!B43)-'⚙ PAYROLL SETUP'!A43)*'⚙ PAYROLL SETUP'!C43+MAX(0,MIN(MAX(0,(O10*12)-'⚙ PAYROLL SETUP'!B45),'⚙ PAYROLL SETUP'!B44)-'⚙ PAYROLL SETUP'!A44)*'⚙ PAYROLL SETUP'!C44),MAX(0,(O10*12)-'⚙ PAYROLL SETUP'!B45)-'⚙ PAYROLL SETUP'!B46)))*(1+'⚙ PAYROLL SETUP'!B47))/12,0),0)</f>
        <v>0</v>
      </c>
      <c r="T10" s="99">
        <v>0</v>
      </c>
      <c r="U10" s="100">
        <f t="shared" si="3"/>
        <v>3689</v>
      </c>
      <c r="V10" s="101">
        <f t="shared" si="4"/>
        <v>60926</v>
      </c>
    </row>
    <row r="11" spans="1:22" ht="19.5" customHeight="1" x14ac:dyDescent="0.25">
      <c r="A11" s="102">
        <v>6</v>
      </c>
      <c r="B11" s="102" t="str">
        <f>'👥 EMPLOYEE MASTER'!B9</f>
        <v>E006</v>
      </c>
      <c r="C11" s="39" t="str">
        <f>'👥 EMPLOYEE MASTER'!C9</f>
        <v>Deepika Krishnamurthy</v>
      </c>
      <c r="D11" s="39" t="str">
        <f>'👥 EMPLOYEE MASTER'!E9</f>
        <v>Marketing</v>
      </c>
      <c r="E11" s="96">
        <v>26</v>
      </c>
      <c r="F11" s="96">
        <v>26</v>
      </c>
      <c r="G11" s="96">
        <v>0</v>
      </c>
      <c r="H11" s="96">
        <v>0</v>
      </c>
      <c r="I11" s="61">
        <f>IFERROR(ROUND('👥 EMPLOYEE MASTER'!H9*(F11+G11)/E11,0),0)</f>
        <v>18000</v>
      </c>
      <c r="J11" s="61">
        <f>IFERROR(ROUND('👥 EMPLOYEE MASTER'!I9*(F11+G11)/E11,0),0)</f>
        <v>9000</v>
      </c>
      <c r="K11" s="61">
        <f>IFERROR(ROUND('👥 EMPLOYEE MASTER'!J9*(F11+G11)/E11,0),0)</f>
        <v>8150</v>
      </c>
      <c r="L11" s="61">
        <f>IFERROR(ROUND('👥 EMPLOYEE MASTER'!K9*(F11+G11)/E11,0),0)</f>
        <v>2000</v>
      </c>
      <c r="M11" s="61">
        <f t="shared" si="0"/>
        <v>1600</v>
      </c>
      <c r="N11" s="61">
        <f t="shared" si="1"/>
        <v>1250</v>
      </c>
      <c r="O11" s="97">
        <f t="shared" si="2"/>
        <v>40000</v>
      </c>
      <c r="P11" s="98">
        <f>IFERROR(ROUND(I11*'⚙ PAYROLL SETUP'!B5,0),0)</f>
        <v>2160</v>
      </c>
      <c r="Q11" s="98">
        <f>IFERROR(IF(O11&lt;='⚙ PAYROLL SETUP'!B12,ROUND(O11*'⚙ PAYROLL SETUP'!B8,0),0),0)</f>
        <v>0</v>
      </c>
      <c r="R11" s="98">
        <f>IF(O11&gt;10000,'⚙ PAYROLL SETUP'!B10,0)</f>
        <v>200</v>
      </c>
      <c r="S11" s="61">
        <f>IFERROR(ROUND(((IF(MAX(0,(O11*12)-'⚙ PAYROLL SETUP'!B45)&lt;='⚙ PAYROLL SETUP'!B46,0,MIN((MAX(0,MIN(MAX(0,(O11*12)-'⚙ PAYROLL SETUP'!B45),'⚙ PAYROLL SETUP'!B38)-'⚙ PAYROLL SETUP'!A38)*'⚙ PAYROLL SETUP'!C38+MAX(0,MIN(MAX(0,(O11*12)-'⚙ PAYROLL SETUP'!B45),'⚙ PAYROLL SETUP'!B39)-'⚙ PAYROLL SETUP'!A39)*'⚙ PAYROLL SETUP'!C39+MAX(0,MIN(MAX(0,(O11*12)-'⚙ PAYROLL SETUP'!B45),'⚙ PAYROLL SETUP'!B40)-'⚙ PAYROLL SETUP'!A40)*'⚙ PAYROLL SETUP'!C40+MAX(0,MIN(MAX(0,(O11*12)-'⚙ PAYROLL SETUP'!B45),'⚙ PAYROLL SETUP'!B41)-'⚙ PAYROLL SETUP'!A41)*'⚙ PAYROLL SETUP'!C41+MAX(0,MIN(MAX(0,(O11*12)-'⚙ PAYROLL SETUP'!B45),'⚙ PAYROLL SETUP'!B42)-'⚙ PAYROLL SETUP'!A42)*'⚙ PAYROLL SETUP'!C42+MAX(0,MIN(MAX(0,(O11*12)-'⚙ PAYROLL SETUP'!B45),'⚙ PAYROLL SETUP'!B43)-'⚙ PAYROLL SETUP'!A43)*'⚙ PAYROLL SETUP'!C43+MAX(0,MIN(MAX(0,(O11*12)-'⚙ PAYROLL SETUP'!B45),'⚙ PAYROLL SETUP'!B44)-'⚙ PAYROLL SETUP'!A44)*'⚙ PAYROLL SETUP'!C44),MAX(0,(O11*12)-'⚙ PAYROLL SETUP'!B45)-'⚙ PAYROLL SETUP'!B46)))*(1+'⚙ PAYROLL SETUP'!B47))/12,0),0)</f>
        <v>0</v>
      </c>
      <c r="T11" s="99">
        <v>0</v>
      </c>
      <c r="U11" s="100">
        <f t="shared" si="3"/>
        <v>2360</v>
      </c>
      <c r="V11" s="101">
        <f t="shared" si="4"/>
        <v>37640</v>
      </c>
    </row>
    <row r="12" spans="1:22" ht="19.5" customHeight="1" x14ac:dyDescent="0.25">
      <c r="A12" s="95">
        <v>7</v>
      </c>
      <c r="B12" s="95" t="str">
        <f>'👥 EMPLOYEE MASTER'!B10</f>
        <v>E007</v>
      </c>
      <c r="C12" s="56" t="str">
        <f>'👥 EMPLOYEE MASTER'!C10</f>
        <v>Ravi Prakash Gupta</v>
      </c>
      <c r="D12" s="56" t="str">
        <f>'👥 EMPLOYEE MASTER'!E10</f>
        <v>Finance</v>
      </c>
      <c r="E12" s="96">
        <v>26</v>
      </c>
      <c r="F12" s="96">
        <v>26</v>
      </c>
      <c r="G12" s="96">
        <v>0</v>
      </c>
      <c r="H12" s="96">
        <v>0</v>
      </c>
      <c r="I12" s="58">
        <f>IFERROR(ROUND('👥 EMPLOYEE MASTER'!H10*(F12+G12)/E12,0),0)</f>
        <v>15750</v>
      </c>
      <c r="J12" s="58">
        <f>IFERROR(ROUND('👥 EMPLOYEE MASTER'!I10*(F12+G12)/E12,0),0)</f>
        <v>7875</v>
      </c>
      <c r="K12" s="58">
        <f>IFERROR(ROUND('👥 EMPLOYEE MASTER'!J10*(F12+G12)/E12,0),0)</f>
        <v>6775</v>
      </c>
      <c r="L12" s="58">
        <f>IFERROR(ROUND('👥 EMPLOYEE MASTER'!K10*(F12+G12)/E12,0),0)</f>
        <v>1750</v>
      </c>
      <c r="M12" s="58">
        <f t="shared" si="0"/>
        <v>1600</v>
      </c>
      <c r="N12" s="58">
        <f t="shared" si="1"/>
        <v>1250</v>
      </c>
      <c r="O12" s="97">
        <f t="shared" si="2"/>
        <v>35000</v>
      </c>
      <c r="P12" s="98">
        <f>IFERROR(ROUND(I12*'⚙ PAYROLL SETUP'!B5,0),0)</f>
        <v>1890</v>
      </c>
      <c r="Q12" s="98">
        <f>IFERROR(IF(O12&lt;='⚙ PAYROLL SETUP'!B12,ROUND(O12*'⚙ PAYROLL SETUP'!B8,0),0),0)</f>
        <v>0</v>
      </c>
      <c r="R12" s="98">
        <f>IF(O12&gt;10000,'⚙ PAYROLL SETUP'!B10,0)</f>
        <v>200</v>
      </c>
      <c r="S12" s="61">
        <f>IFERROR(ROUND(((IF(MAX(0,(O12*12)-'⚙ PAYROLL SETUP'!B45)&lt;='⚙ PAYROLL SETUP'!B46,0,MIN((MAX(0,MIN(MAX(0,(O12*12)-'⚙ PAYROLL SETUP'!B45),'⚙ PAYROLL SETUP'!B38)-'⚙ PAYROLL SETUP'!A38)*'⚙ PAYROLL SETUP'!C38+MAX(0,MIN(MAX(0,(O12*12)-'⚙ PAYROLL SETUP'!B45),'⚙ PAYROLL SETUP'!B39)-'⚙ PAYROLL SETUP'!A39)*'⚙ PAYROLL SETUP'!C39+MAX(0,MIN(MAX(0,(O12*12)-'⚙ PAYROLL SETUP'!B45),'⚙ PAYROLL SETUP'!B40)-'⚙ PAYROLL SETUP'!A40)*'⚙ PAYROLL SETUP'!C40+MAX(0,MIN(MAX(0,(O12*12)-'⚙ PAYROLL SETUP'!B45),'⚙ PAYROLL SETUP'!B41)-'⚙ PAYROLL SETUP'!A41)*'⚙ PAYROLL SETUP'!C41+MAX(0,MIN(MAX(0,(O12*12)-'⚙ PAYROLL SETUP'!B45),'⚙ PAYROLL SETUP'!B42)-'⚙ PAYROLL SETUP'!A42)*'⚙ PAYROLL SETUP'!C42+MAX(0,MIN(MAX(0,(O12*12)-'⚙ PAYROLL SETUP'!B45),'⚙ PAYROLL SETUP'!B43)-'⚙ PAYROLL SETUP'!A43)*'⚙ PAYROLL SETUP'!C43+MAX(0,MIN(MAX(0,(O12*12)-'⚙ PAYROLL SETUP'!B45),'⚙ PAYROLL SETUP'!B44)-'⚙ PAYROLL SETUP'!A44)*'⚙ PAYROLL SETUP'!C44),MAX(0,(O12*12)-'⚙ PAYROLL SETUP'!B45)-'⚙ PAYROLL SETUP'!B46)))*(1+'⚙ PAYROLL SETUP'!B47))/12,0),0)</f>
        <v>0</v>
      </c>
      <c r="T12" s="99">
        <v>0</v>
      </c>
      <c r="U12" s="100">
        <f t="shared" si="3"/>
        <v>2090</v>
      </c>
      <c r="V12" s="101">
        <f t="shared" si="4"/>
        <v>32910</v>
      </c>
    </row>
    <row r="13" spans="1:22" ht="19.5" customHeight="1" x14ac:dyDescent="0.25">
      <c r="A13" s="102">
        <v>8</v>
      </c>
      <c r="B13" s="102" t="str">
        <f>'👥 EMPLOYEE MASTER'!B11</f>
        <v>E008</v>
      </c>
      <c r="C13" s="39" t="str">
        <f>'👥 EMPLOYEE MASTER'!C11</f>
        <v>Kavitha Subramaniam</v>
      </c>
      <c r="D13" s="39" t="str">
        <f>'👥 EMPLOYEE MASTER'!E11</f>
        <v>Technology</v>
      </c>
      <c r="E13" s="96">
        <v>26</v>
      </c>
      <c r="F13" s="96">
        <v>25</v>
      </c>
      <c r="G13" s="96">
        <v>0</v>
      </c>
      <c r="H13" s="96">
        <v>1</v>
      </c>
      <c r="I13" s="61">
        <f>IFERROR(ROUND('👥 EMPLOYEE MASTER'!H11*(F13+G13)/E13,0),0)</f>
        <v>21635</v>
      </c>
      <c r="J13" s="61">
        <f>IFERROR(ROUND('👥 EMPLOYEE MASTER'!I11*(F13+G13)/E13,0),0)</f>
        <v>10817</v>
      </c>
      <c r="K13" s="61">
        <f>IFERROR(ROUND('👥 EMPLOYEE MASTER'!J11*(F13+G13)/E13,0),0)</f>
        <v>10481</v>
      </c>
      <c r="L13" s="61">
        <f>IFERROR(ROUND('👥 EMPLOYEE MASTER'!K11*(F13+G13)/E13,0),0)</f>
        <v>2404</v>
      </c>
      <c r="M13" s="61">
        <f t="shared" si="0"/>
        <v>1538</v>
      </c>
      <c r="N13" s="61">
        <f t="shared" si="1"/>
        <v>1202</v>
      </c>
      <c r="O13" s="97">
        <f t="shared" si="2"/>
        <v>48077</v>
      </c>
      <c r="P13" s="98">
        <f>IFERROR(ROUND(I13*'⚙ PAYROLL SETUP'!B5,0),0)</f>
        <v>2596</v>
      </c>
      <c r="Q13" s="98">
        <f>IFERROR(IF(O13&lt;='⚙ PAYROLL SETUP'!B12,ROUND(O13*'⚙ PAYROLL SETUP'!B8,0),0),0)</f>
        <v>0</v>
      </c>
      <c r="R13" s="98">
        <f>IF(O13&gt;10000,'⚙ PAYROLL SETUP'!B10,0)</f>
        <v>200</v>
      </c>
      <c r="S13" s="61">
        <f>IFERROR(ROUND(((IF(MAX(0,(O13*12)-'⚙ PAYROLL SETUP'!B45)&lt;='⚙ PAYROLL SETUP'!B46,0,MIN((MAX(0,MIN(MAX(0,(O13*12)-'⚙ PAYROLL SETUP'!B45),'⚙ PAYROLL SETUP'!B38)-'⚙ PAYROLL SETUP'!A38)*'⚙ PAYROLL SETUP'!C38+MAX(0,MIN(MAX(0,(O13*12)-'⚙ PAYROLL SETUP'!B45),'⚙ PAYROLL SETUP'!B39)-'⚙ PAYROLL SETUP'!A39)*'⚙ PAYROLL SETUP'!C39+MAX(0,MIN(MAX(0,(O13*12)-'⚙ PAYROLL SETUP'!B45),'⚙ PAYROLL SETUP'!B40)-'⚙ PAYROLL SETUP'!A40)*'⚙ PAYROLL SETUP'!C40+MAX(0,MIN(MAX(0,(O13*12)-'⚙ PAYROLL SETUP'!B45),'⚙ PAYROLL SETUP'!B41)-'⚙ PAYROLL SETUP'!A41)*'⚙ PAYROLL SETUP'!C41+MAX(0,MIN(MAX(0,(O13*12)-'⚙ PAYROLL SETUP'!B45),'⚙ PAYROLL SETUP'!B42)-'⚙ PAYROLL SETUP'!A42)*'⚙ PAYROLL SETUP'!C42+MAX(0,MIN(MAX(0,(O13*12)-'⚙ PAYROLL SETUP'!B45),'⚙ PAYROLL SETUP'!B43)-'⚙ PAYROLL SETUP'!A43)*'⚙ PAYROLL SETUP'!C43+MAX(0,MIN(MAX(0,(O13*12)-'⚙ PAYROLL SETUP'!B45),'⚙ PAYROLL SETUP'!B44)-'⚙ PAYROLL SETUP'!A44)*'⚙ PAYROLL SETUP'!C44),MAX(0,(O13*12)-'⚙ PAYROLL SETUP'!B45)-'⚙ PAYROLL SETUP'!B46)))*(1+'⚙ PAYROLL SETUP'!B47))/12,0),0)</f>
        <v>0</v>
      </c>
      <c r="T13" s="99">
        <v>0</v>
      </c>
      <c r="U13" s="100">
        <f t="shared" si="3"/>
        <v>2796</v>
      </c>
      <c r="V13" s="101">
        <f t="shared" si="4"/>
        <v>45281</v>
      </c>
    </row>
    <row r="14" spans="1:22" ht="19.5" customHeight="1" x14ac:dyDescent="0.25">
      <c r="A14" s="95">
        <v>9</v>
      </c>
      <c r="B14" s="95" t="str">
        <f>'👥 EMPLOYEE MASTER'!B12</f>
        <v>E009</v>
      </c>
      <c r="C14" s="56" t="str">
        <f>'👥 EMPLOYEE MASTER'!C12</f>
        <v>Suresh Babu Nair</v>
      </c>
      <c r="D14" s="56" t="str">
        <f>'👥 EMPLOYEE MASTER'!E12</f>
        <v>Sales</v>
      </c>
      <c r="E14" s="96">
        <v>26</v>
      </c>
      <c r="F14" s="96">
        <v>26</v>
      </c>
      <c r="G14" s="96">
        <v>0</v>
      </c>
      <c r="H14" s="96">
        <v>0</v>
      </c>
      <c r="I14" s="58">
        <f>IFERROR(ROUND('👥 EMPLOYEE MASTER'!H12*(F14+G14)/E14,0),0)</f>
        <v>13500</v>
      </c>
      <c r="J14" s="58">
        <f>IFERROR(ROUND('👥 EMPLOYEE MASTER'!I12*(F14+G14)/E14,0),0)</f>
        <v>6750</v>
      </c>
      <c r="K14" s="58">
        <f>IFERROR(ROUND('👥 EMPLOYEE MASTER'!J12*(F14+G14)/E14,0),0)</f>
        <v>5400</v>
      </c>
      <c r="L14" s="58">
        <f>IFERROR(ROUND('👥 EMPLOYEE MASTER'!K12*(F14+G14)/E14,0),0)</f>
        <v>1500</v>
      </c>
      <c r="M14" s="58">
        <f t="shared" si="0"/>
        <v>1600</v>
      </c>
      <c r="N14" s="58">
        <f t="shared" si="1"/>
        <v>1250</v>
      </c>
      <c r="O14" s="97">
        <f t="shared" si="2"/>
        <v>30000</v>
      </c>
      <c r="P14" s="98">
        <f>IFERROR(ROUND(I14*'⚙ PAYROLL SETUP'!B5,0),0)</f>
        <v>1620</v>
      </c>
      <c r="Q14" s="98">
        <f>IFERROR(IF(O14&lt;='⚙ PAYROLL SETUP'!B12,ROUND(O14*'⚙ PAYROLL SETUP'!B8,0),0),0)</f>
        <v>0</v>
      </c>
      <c r="R14" s="98">
        <f>IF(O14&gt;10000,'⚙ PAYROLL SETUP'!B10,0)</f>
        <v>200</v>
      </c>
      <c r="S14" s="61">
        <f>IFERROR(ROUND(((IF(MAX(0,(O14*12)-'⚙ PAYROLL SETUP'!B45)&lt;='⚙ PAYROLL SETUP'!B46,0,MIN((MAX(0,MIN(MAX(0,(O14*12)-'⚙ PAYROLL SETUP'!B45),'⚙ PAYROLL SETUP'!B38)-'⚙ PAYROLL SETUP'!A38)*'⚙ PAYROLL SETUP'!C38+MAX(0,MIN(MAX(0,(O14*12)-'⚙ PAYROLL SETUP'!B45),'⚙ PAYROLL SETUP'!B39)-'⚙ PAYROLL SETUP'!A39)*'⚙ PAYROLL SETUP'!C39+MAX(0,MIN(MAX(0,(O14*12)-'⚙ PAYROLL SETUP'!B45),'⚙ PAYROLL SETUP'!B40)-'⚙ PAYROLL SETUP'!A40)*'⚙ PAYROLL SETUP'!C40+MAX(0,MIN(MAX(0,(O14*12)-'⚙ PAYROLL SETUP'!B45),'⚙ PAYROLL SETUP'!B41)-'⚙ PAYROLL SETUP'!A41)*'⚙ PAYROLL SETUP'!C41+MAX(0,MIN(MAX(0,(O14*12)-'⚙ PAYROLL SETUP'!B45),'⚙ PAYROLL SETUP'!B42)-'⚙ PAYROLL SETUP'!A42)*'⚙ PAYROLL SETUP'!C42+MAX(0,MIN(MAX(0,(O14*12)-'⚙ PAYROLL SETUP'!B45),'⚙ PAYROLL SETUP'!B43)-'⚙ PAYROLL SETUP'!A43)*'⚙ PAYROLL SETUP'!C43+MAX(0,MIN(MAX(0,(O14*12)-'⚙ PAYROLL SETUP'!B45),'⚙ PAYROLL SETUP'!B44)-'⚙ PAYROLL SETUP'!A44)*'⚙ PAYROLL SETUP'!C44),MAX(0,(O14*12)-'⚙ PAYROLL SETUP'!B45)-'⚙ PAYROLL SETUP'!B46)))*(1+'⚙ PAYROLL SETUP'!B47))/12,0),0)</f>
        <v>0</v>
      </c>
      <c r="T14" s="99">
        <v>0</v>
      </c>
      <c r="U14" s="100">
        <f t="shared" si="3"/>
        <v>1820</v>
      </c>
      <c r="V14" s="101">
        <f t="shared" si="4"/>
        <v>28180</v>
      </c>
    </row>
    <row r="15" spans="1:22" ht="19.5" customHeight="1" x14ac:dyDescent="0.25">
      <c r="A15" s="102">
        <v>10</v>
      </c>
      <c r="B15" s="102" t="str">
        <f>'👥 EMPLOYEE MASTER'!B13</f>
        <v>E010</v>
      </c>
      <c r="C15" s="39" t="str">
        <f>'👥 EMPLOYEE MASTER'!C13</f>
        <v>Pooja Agarwal</v>
      </c>
      <c r="D15" s="39" t="str">
        <f>'👥 EMPLOYEE MASTER'!E13</f>
        <v>HR</v>
      </c>
      <c r="E15" s="96">
        <v>26</v>
      </c>
      <c r="F15" s="96">
        <v>26</v>
      </c>
      <c r="G15" s="96">
        <v>0</v>
      </c>
      <c r="H15" s="96">
        <v>0</v>
      </c>
      <c r="I15" s="61">
        <f>IFERROR(ROUND('👥 EMPLOYEE MASTER'!H13*(F15+G15)/E15,0),0)</f>
        <v>11250</v>
      </c>
      <c r="J15" s="61">
        <f>IFERROR(ROUND('👥 EMPLOYEE MASTER'!I13*(F15+G15)/E15,0),0)</f>
        <v>5625</v>
      </c>
      <c r="K15" s="61">
        <f>IFERROR(ROUND('👥 EMPLOYEE MASTER'!J13*(F15+G15)/E15,0),0)</f>
        <v>4025</v>
      </c>
      <c r="L15" s="61">
        <f>IFERROR(ROUND('👥 EMPLOYEE MASTER'!K13*(F15+G15)/E15,0),0)</f>
        <v>1250</v>
      </c>
      <c r="M15" s="61">
        <f t="shared" si="0"/>
        <v>1600</v>
      </c>
      <c r="N15" s="61">
        <f t="shared" si="1"/>
        <v>1250</v>
      </c>
      <c r="O15" s="97">
        <f t="shared" si="2"/>
        <v>25000</v>
      </c>
      <c r="P15" s="98">
        <f>IFERROR(ROUND(I15*'⚙ PAYROLL SETUP'!B5,0),0)</f>
        <v>1350</v>
      </c>
      <c r="Q15" s="98">
        <f>IFERROR(IF(O15&lt;='⚙ PAYROLL SETUP'!B12,ROUND(O15*'⚙ PAYROLL SETUP'!B8,0),0),0)</f>
        <v>0</v>
      </c>
      <c r="R15" s="98">
        <f>IF(O15&gt;10000,'⚙ PAYROLL SETUP'!B10,0)</f>
        <v>200</v>
      </c>
      <c r="S15" s="61">
        <f>IFERROR(ROUND(((IF(MAX(0,(O15*12)-'⚙ PAYROLL SETUP'!B45)&lt;='⚙ PAYROLL SETUP'!B46,0,MIN((MAX(0,MIN(MAX(0,(O15*12)-'⚙ PAYROLL SETUP'!B45),'⚙ PAYROLL SETUP'!B38)-'⚙ PAYROLL SETUP'!A38)*'⚙ PAYROLL SETUP'!C38+MAX(0,MIN(MAX(0,(O15*12)-'⚙ PAYROLL SETUP'!B45),'⚙ PAYROLL SETUP'!B39)-'⚙ PAYROLL SETUP'!A39)*'⚙ PAYROLL SETUP'!C39+MAX(0,MIN(MAX(0,(O15*12)-'⚙ PAYROLL SETUP'!B45),'⚙ PAYROLL SETUP'!B40)-'⚙ PAYROLL SETUP'!A40)*'⚙ PAYROLL SETUP'!C40+MAX(0,MIN(MAX(0,(O15*12)-'⚙ PAYROLL SETUP'!B45),'⚙ PAYROLL SETUP'!B41)-'⚙ PAYROLL SETUP'!A41)*'⚙ PAYROLL SETUP'!C41+MAX(0,MIN(MAX(0,(O15*12)-'⚙ PAYROLL SETUP'!B45),'⚙ PAYROLL SETUP'!B42)-'⚙ PAYROLL SETUP'!A42)*'⚙ PAYROLL SETUP'!C42+MAX(0,MIN(MAX(0,(O15*12)-'⚙ PAYROLL SETUP'!B45),'⚙ PAYROLL SETUP'!B43)-'⚙ PAYROLL SETUP'!A43)*'⚙ PAYROLL SETUP'!C43+MAX(0,MIN(MAX(0,(O15*12)-'⚙ PAYROLL SETUP'!B45),'⚙ PAYROLL SETUP'!B44)-'⚙ PAYROLL SETUP'!A44)*'⚙ PAYROLL SETUP'!C44),MAX(0,(O15*12)-'⚙ PAYROLL SETUP'!B45)-'⚙ PAYROLL SETUP'!B46)))*(1+'⚙ PAYROLL SETUP'!B47))/12,0),0)</f>
        <v>0</v>
      </c>
      <c r="T15" s="99">
        <v>0</v>
      </c>
      <c r="U15" s="100">
        <f t="shared" si="3"/>
        <v>1550</v>
      </c>
      <c r="V15" s="101">
        <f t="shared" si="4"/>
        <v>23450</v>
      </c>
    </row>
    <row r="16" spans="1:22" ht="19.5" customHeight="1" x14ac:dyDescent="0.25">
      <c r="A16" s="95">
        <v>11</v>
      </c>
      <c r="B16" s="95" t="str">
        <f>'👥 EMPLOYEE MASTER'!B14</f>
        <v>E011</v>
      </c>
      <c r="C16" s="56" t="str">
        <f>'👥 EMPLOYEE MASTER'!C14</f>
        <v>Naresh Chandra Patel</v>
      </c>
      <c r="D16" s="56" t="str">
        <f>'👥 EMPLOYEE MASTER'!E14</f>
        <v>Operations</v>
      </c>
      <c r="E16" s="96">
        <v>26</v>
      </c>
      <c r="F16" s="96">
        <v>23</v>
      </c>
      <c r="G16" s="96">
        <v>0</v>
      </c>
      <c r="H16" s="96">
        <v>3</v>
      </c>
      <c r="I16" s="58">
        <f>IFERROR(ROUND('👥 EMPLOYEE MASTER'!H14*(F16+G16)/E16,0),0)</f>
        <v>21894</v>
      </c>
      <c r="J16" s="58">
        <f>IFERROR(ROUND('👥 EMPLOYEE MASTER'!I14*(F16+G16)/E16,0),0)</f>
        <v>10947</v>
      </c>
      <c r="K16" s="58">
        <f>IFERROR(ROUND('👥 EMPLOYEE MASTER'!J14*(F16+G16)/E16,0),0)</f>
        <v>10859</v>
      </c>
      <c r="L16" s="58">
        <f>IFERROR(ROUND('👥 EMPLOYEE MASTER'!K14*(F16+G16)/E16,0),0)</f>
        <v>2433</v>
      </c>
      <c r="M16" s="58">
        <f t="shared" si="0"/>
        <v>1415</v>
      </c>
      <c r="N16" s="58">
        <f t="shared" si="1"/>
        <v>1106</v>
      </c>
      <c r="O16" s="97">
        <f t="shared" si="2"/>
        <v>48654</v>
      </c>
      <c r="P16" s="98">
        <f>IFERROR(ROUND(I16*'⚙ PAYROLL SETUP'!B5,0),0)</f>
        <v>2627</v>
      </c>
      <c r="Q16" s="98">
        <f>IFERROR(IF(O16&lt;='⚙ PAYROLL SETUP'!B12,ROUND(O16*'⚙ PAYROLL SETUP'!B8,0),0),0)</f>
        <v>0</v>
      </c>
      <c r="R16" s="98">
        <f>IF(O16&gt;10000,'⚙ PAYROLL SETUP'!B10,0)</f>
        <v>200</v>
      </c>
      <c r="S16" s="61">
        <f>IFERROR(ROUND(((IF(MAX(0,(O16*12)-'⚙ PAYROLL SETUP'!B45)&lt;='⚙ PAYROLL SETUP'!B46,0,MIN((MAX(0,MIN(MAX(0,(O16*12)-'⚙ PAYROLL SETUP'!B45),'⚙ PAYROLL SETUP'!B38)-'⚙ PAYROLL SETUP'!A38)*'⚙ PAYROLL SETUP'!C38+MAX(0,MIN(MAX(0,(O16*12)-'⚙ PAYROLL SETUP'!B45),'⚙ PAYROLL SETUP'!B39)-'⚙ PAYROLL SETUP'!A39)*'⚙ PAYROLL SETUP'!C39+MAX(0,MIN(MAX(0,(O16*12)-'⚙ PAYROLL SETUP'!B45),'⚙ PAYROLL SETUP'!B40)-'⚙ PAYROLL SETUP'!A40)*'⚙ PAYROLL SETUP'!C40+MAX(0,MIN(MAX(0,(O16*12)-'⚙ PAYROLL SETUP'!B45),'⚙ PAYROLL SETUP'!B41)-'⚙ PAYROLL SETUP'!A41)*'⚙ PAYROLL SETUP'!C41+MAX(0,MIN(MAX(0,(O16*12)-'⚙ PAYROLL SETUP'!B45),'⚙ PAYROLL SETUP'!B42)-'⚙ PAYROLL SETUP'!A42)*'⚙ PAYROLL SETUP'!C42+MAX(0,MIN(MAX(0,(O16*12)-'⚙ PAYROLL SETUP'!B45),'⚙ PAYROLL SETUP'!B43)-'⚙ PAYROLL SETUP'!A43)*'⚙ PAYROLL SETUP'!C43+MAX(0,MIN(MAX(0,(O16*12)-'⚙ PAYROLL SETUP'!B45),'⚙ PAYROLL SETUP'!B44)-'⚙ PAYROLL SETUP'!A44)*'⚙ PAYROLL SETUP'!C44),MAX(0,(O16*12)-'⚙ PAYROLL SETUP'!B45)-'⚙ PAYROLL SETUP'!B46)))*(1+'⚙ PAYROLL SETUP'!B47))/12,0),0)</f>
        <v>0</v>
      </c>
      <c r="T16" s="99">
        <v>0</v>
      </c>
      <c r="U16" s="100">
        <f t="shared" si="3"/>
        <v>2827</v>
      </c>
      <c r="V16" s="101">
        <f t="shared" si="4"/>
        <v>45827</v>
      </c>
    </row>
    <row r="17" spans="1:22" ht="19.5" customHeight="1" x14ac:dyDescent="0.25">
      <c r="A17" s="102">
        <v>12</v>
      </c>
      <c r="B17" s="102" t="str">
        <f>'👥 EMPLOYEE MASTER'!B15</f>
        <v>E012</v>
      </c>
      <c r="C17" s="39" t="str">
        <f>'👥 EMPLOYEE MASTER'!C15</f>
        <v>Lakshmi Narayan Iyer</v>
      </c>
      <c r="D17" s="39" t="str">
        <f>'👥 EMPLOYEE MASTER'!E15</f>
        <v>Finance</v>
      </c>
      <c r="E17" s="96">
        <v>26</v>
      </c>
      <c r="F17" s="96">
        <v>26</v>
      </c>
      <c r="G17" s="96">
        <v>0</v>
      </c>
      <c r="H17" s="96">
        <v>0</v>
      </c>
      <c r="I17" s="61">
        <f>IFERROR(ROUND('👥 EMPLOYEE MASTER'!H15*(F17+G17)/E17,0),0)</f>
        <v>20250</v>
      </c>
      <c r="J17" s="61">
        <f>IFERROR(ROUND('👥 EMPLOYEE MASTER'!I15*(F17+G17)/E17,0),0)</f>
        <v>10125</v>
      </c>
      <c r="K17" s="61">
        <f>IFERROR(ROUND('👥 EMPLOYEE MASTER'!J15*(F17+G17)/E17,0),0)</f>
        <v>9525</v>
      </c>
      <c r="L17" s="61">
        <f>IFERROR(ROUND('👥 EMPLOYEE MASTER'!K15*(F17+G17)/E17,0),0)</f>
        <v>2250</v>
      </c>
      <c r="M17" s="61">
        <f t="shared" si="0"/>
        <v>1600</v>
      </c>
      <c r="N17" s="61">
        <f t="shared" si="1"/>
        <v>1250</v>
      </c>
      <c r="O17" s="97">
        <f t="shared" si="2"/>
        <v>45000</v>
      </c>
      <c r="P17" s="98">
        <f>IFERROR(ROUND(I17*'⚙ PAYROLL SETUP'!B5,0),0)</f>
        <v>2430</v>
      </c>
      <c r="Q17" s="98">
        <f>IFERROR(IF(O17&lt;='⚙ PAYROLL SETUP'!B12,ROUND(O17*'⚙ PAYROLL SETUP'!B8,0),0),0)</f>
        <v>0</v>
      </c>
      <c r="R17" s="98">
        <f>IF(O17&gt;10000,'⚙ PAYROLL SETUP'!B10,0)</f>
        <v>200</v>
      </c>
      <c r="S17" s="61">
        <f>IFERROR(ROUND(((IF(MAX(0,(O17*12)-'⚙ PAYROLL SETUP'!B45)&lt;='⚙ PAYROLL SETUP'!B46,0,MIN((MAX(0,MIN(MAX(0,(O17*12)-'⚙ PAYROLL SETUP'!B45),'⚙ PAYROLL SETUP'!B38)-'⚙ PAYROLL SETUP'!A38)*'⚙ PAYROLL SETUP'!C38+MAX(0,MIN(MAX(0,(O17*12)-'⚙ PAYROLL SETUP'!B45),'⚙ PAYROLL SETUP'!B39)-'⚙ PAYROLL SETUP'!A39)*'⚙ PAYROLL SETUP'!C39+MAX(0,MIN(MAX(0,(O17*12)-'⚙ PAYROLL SETUP'!B45),'⚙ PAYROLL SETUP'!B40)-'⚙ PAYROLL SETUP'!A40)*'⚙ PAYROLL SETUP'!C40+MAX(0,MIN(MAX(0,(O17*12)-'⚙ PAYROLL SETUP'!B45),'⚙ PAYROLL SETUP'!B41)-'⚙ PAYROLL SETUP'!A41)*'⚙ PAYROLL SETUP'!C41+MAX(0,MIN(MAX(0,(O17*12)-'⚙ PAYROLL SETUP'!B45),'⚙ PAYROLL SETUP'!B42)-'⚙ PAYROLL SETUP'!A42)*'⚙ PAYROLL SETUP'!C42+MAX(0,MIN(MAX(0,(O17*12)-'⚙ PAYROLL SETUP'!B45),'⚙ PAYROLL SETUP'!B43)-'⚙ PAYROLL SETUP'!A43)*'⚙ PAYROLL SETUP'!C43+MAX(0,MIN(MAX(0,(O17*12)-'⚙ PAYROLL SETUP'!B45),'⚙ PAYROLL SETUP'!B44)-'⚙ PAYROLL SETUP'!A44)*'⚙ PAYROLL SETUP'!C44),MAX(0,(O17*12)-'⚙ PAYROLL SETUP'!B45)-'⚙ PAYROLL SETUP'!B46)))*(1+'⚙ PAYROLL SETUP'!B47))/12,0),0)</f>
        <v>0</v>
      </c>
      <c r="T17" s="99">
        <v>0</v>
      </c>
      <c r="U17" s="100">
        <f t="shared" si="3"/>
        <v>2630</v>
      </c>
      <c r="V17" s="101">
        <f t="shared" si="4"/>
        <v>42370</v>
      </c>
    </row>
    <row r="18" spans="1:22" ht="19.5" customHeight="1" x14ac:dyDescent="0.25">
      <c r="A18" s="95">
        <v>13</v>
      </c>
      <c r="B18" s="95" t="str">
        <f>'👥 EMPLOYEE MASTER'!B16</f>
        <v>E013</v>
      </c>
      <c r="C18" s="56" t="str">
        <f>'👥 EMPLOYEE MASTER'!C16</f>
        <v>Vikram Anand Malhotra</v>
      </c>
      <c r="D18" s="56" t="str">
        <f>'👥 EMPLOYEE MASTER'!E16</f>
        <v>Sales</v>
      </c>
      <c r="E18" s="96">
        <v>26</v>
      </c>
      <c r="F18" s="96">
        <v>26</v>
      </c>
      <c r="G18" s="96">
        <v>0</v>
      </c>
      <c r="H18" s="96">
        <v>0</v>
      </c>
      <c r="I18" s="58">
        <f>IFERROR(ROUND('👥 EMPLOYEE MASTER'!H16*(F18+G18)/E18,0),0)</f>
        <v>15750</v>
      </c>
      <c r="J18" s="58">
        <f>IFERROR(ROUND('👥 EMPLOYEE MASTER'!I16*(F18+G18)/E18,0),0)</f>
        <v>7875</v>
      </c>
      <c r="K18" s="58">
        <f>IFERROR(ROUND('👥 EMPLOYEE MASTER'!J16*(F18+G18)/E18,0),0)</f>
        <v>6775</v>
      </c>
      <c r="L18" s="58">
        <f>IFERROR(ROUND('👥 EMPLOYEE MASTER'!K16*(F18+G18)/E18,0),0)</f>
        <v>1750</v>
      </c>
      <c r="M18" s="58">
        <f t="shared" si="0"/>
        <v>1600</v>
      </c>
      <c r="N18" s="58">
        <f t="shared" si="1"/>
        <v>1250</v>
      </c>
      <c r="O18" s="97">
        <f t="shared" si="2"/>
        <v>35000</v>
      </c>
      <c r="P18" s="98">
        <f>IFERROR(ROUND(I18*'⚙ PAYROLL SETUP'!B5,0),0)</f>
        <v>1890</v>
      </c>
      <c r="Q18" s="98">
        <f>IFERROR(IF(O18&lt;='⚙ PAYROLL SETUP'!B12,ROUND(O18*'⚙ PAYROLL SETUP'!B8,0),0),0)</f>
        <v>0</v>
      </c>
      <c r="R18" s="98">
        <f>IF(O18&gt;10000,'⚙ PAYROLL SETUP'!B10,0)</f>
        <v>200</v>
      </c>
      <c r="S18" s="61">
        <f>IFERROR(ROUND(((IF(MAX(0,(O18*12)-'⚙ PAYROLL SETUP'!B45)&lt;='⚙ PAYROLL SETUP'!B46,0,MIN((MAX(0,MIN(MAX(0,(O18*12)-'⚙ PAYROLL SETUP'!B45),'⚙ PAYROLL SETUP'!B38)-'⚙ PAYROLL SETUP'!A38)*'⚙ PAYROLL SETUP'!C38+MAX(0,MIN(MAX(0,(O18*12)-'⚙ PAYROLL SETUP'!B45),'⚙ PAYROLL SETUP'!B39)-'⚙ PAYROLL SETUP'!A39)*'⚙ PAYROLL SETUP'!C39+MAX(0,MIN(MAX(0,(O18*12)-'⚙ PAYROLL SETUP'!B45),'⚙ PAYROLL SETUP'!B40)-'⚙ PAYROLL SETUP'!A40)*'⚙ PAYROLL SETUP'!C40+MAX(0,MIN(MAX(0,(O18*12)-'⚙ PAYROLL SETUP'!B45),'⚙ PAYROLL SETUP'!B41)-'⚙ PAYROLL SETUP'!A41)*'⚙ PAYROLL SETUP'!C41+MAX(0,MIN(MAX(0,(O18*12)-'⚙ PAYROLL SETUP'!B45),'⚙ PAYROLL SETUP'!B42)-'⚙ PAYROLL SETUP'!A42)*'⚙ PAYROLL SETUP'!C42+MAX(0,MIN(MAX(0,(O18*12)-'⚙ PAYROLL SETUP'!B45),'⚙ PAYROLL SETUP'!B43)-'⚙ PAYROLL SETUP'!A43)*'⚙ PAYROLL SETUP'!C43+MAX(0,MIN(MAX(0,(O18*12)-'⚙ PAYROLL SETUP'!B45),'⚙ PAYROLL SETUP'!B44)-'⚙ PAYROLL SETUP'!A44)*'⚙ PAYROLL SETUP'!C44),MAX(0,(O18*12)-'⚙ PAYROLL SETUP'!B45)-'⚙ PAYROLL SETUP'!B46)))*(1+'⚙ PAYROLL SETUP'!B47))/12,0),0)</f>
        <v>0</v>
      </c>
      <c r="T18" s="99">
        <v>0</v>
      </c>
      <c r="U18" s="100">
        <f t="shared" si="3"/>
        <v>2090</v>
      </c>
      <c r="V18" s="101">
        <f t="shared" si="4"/>
        <v>32910</v>
      </c>
    </row>
    <row r="19" spans="1:22" ht="19.5" customHeight="1" x14ac:dyDescent="0.25">
      <c r="A19" s="102">
        <v>14</v>
      </c>
      <c r="B19" s="102" t="str">
        <f>'👥 EMPLOYEE MASTER'!B17</f>
        <v>E014</v>
      </c>
      <c r="C19" s="39" t="str">
        <f>'👥 EMPLOYEE MASTER'!C17</f>
        <v>Anita Devi Joshi</v>
      </c>
      <c r="D19" s="39" t="str">
        <f>'👥 EMPLOYEE MASTER'!E17</f>
        <v>Admin</v>
      </c>
      <c r="E19" s="96">
        <v>26</v>
      </c>
      <c r="F19" s="96">
        <v>24</v>
      </c>
      <c r="G19" s="96">
        <v>0</v>
      </c>
      <c r="H19" s="96">
        <v>2</v>
      </c>
      <c r="I19" s="61">
        <f>IFERROR(ROUND('👥 EMPLOYEE MASTER'!H17*(F19+G19)/E19,0),0)</f>
        <v>10385</v>
      </c>
      <c r="J19" s="61">
        <f>IFERROR(ROUND('👥 EMPLOYEE MASTER'!I17*(F19+G19)/E19,0),0)</f>
        <v>5192</v>
      </c>
      <c r="K19" s="61">
        <f>IFERROR(ROUND('👥 EMPLOYEE MASTER'!J17*(F19+G19)/E19,0),0)</f>
        <v>3715</v>
      </c>
      <c r="L19" s="61">
        <f>IFERROR(ROUND('👥 EMPLOYEE MASTER'!K17*(F19+G19)/E19,0),0)</f>
        <v>1154</v>
      </c>
      <c r="M19" s="61">
        <f t="shared" si="0"/>
        <v>1477</v>
      </c>
      <c r="N19" s="61">
        <f t="shared" si="1"/>
        <v>1154</v>
      </c>
      <c r="O19" s="97">
        <f t="shared" si="2"/>
        <v>23077</v>
      </c>
      <c r="P19" s="98">
        <f>IFERROR(ROUND(I19*'⚙ PAYROLL SETUP'!B5,0),0)</f>
        <v>1246</v>
      </c>
      <c r="Q19" s="98">
        <f>IFERROR(IF(O19&lt;='⚙ PAYROLL SETUP'!B12,ROUND(O19*'⚙ PAYROLL SETUP'!B8,0),0),0)</f>
        <v>0</v>
      </c>
      <c r="R19" s="98">
        <f>IF(O19&gt;10000,'⚙ PAYROLL SETUP'!B10,0)</f>
        <v>200</v>
      </c>
      <c r="S19" s="61">
        <f>IFERROR(ROUND(((IF(MAX(0,(O19*12)-'⚙ PAYROLL SETUP'!B45)&lt;='⚙ PAYROLL SETUP'!B46,0,MIN((MAX(0,MIN(MAX(0,(O19*12)-'⚙ PAYROLL SETUP'!B45),'⚙ PAYROLL SETUP'!B38)-'⚙ PAYROLL SETUP'!A38)*'⚙ PAYROLL SETUP'!C38+MAX(0,MIN(MAX(0,(O19*12)-'⚙ PAYROLL SETUP'!B45),'⚙ PAYROLL SETUP'!B39)-'⚙ PAYROLL SETUP'!A39)*'⚙ PAYROLL SETUP'!C39+MAX(0,MIN(MAX(0,(O19*12)-'⚙ PAYROLL SETUP'!B45),'⚙ PAYROLL SETUP'!B40)-'⚙ PAYROLL SETUP'!A40)*'⚙ PAYROLL SETUP'!C40+MAX(0,MIN(MAX(0,(O19*12)-'⚙ PAYROLL SETUP'!B45),'⚙ PAYROLL SETUP'!B41)-'⚙ PAYROLL SETUP'!A41)*'⚙ PAYROLL SETUP'!C41+MAX(0,MIN(MAX(0,(O19*12)-'⚙ PAYROLL SETUP'!B45),'⚙ PAYROLL SETUP'!B42)-'⚙ PAYROLL SETUP'!A42)*'⚙ PAYROLL SETUP'!C42+MAX(0,MIN(MAX(0,(O19*12)-'⚙ PAYROLL SETUP'!B45),'⚙ PAYROLL SETUP'!B43)-'⚙ PAYROLL SETUP'!A43)*'⚙ PAYROLL SETUP'!C43+MAX(0,MIN(MAX(0,(O19*12)-'⚙ PAYROLL SETUP'!B45),'⚙ PAYROLL SETUP'!B44)-'⚙ PAYROLL SETUP'!A44)*'⚙ PAYROLL SETUP'!C44),MAX(0,(O19*12)-'⚙ PAYROLL SETUP'!B45)-'⚙ PAYROLL SETUP'!B46)))*(1+'⚙ PAYROLL SETUP'!B47))/12,0),0)</f>
        <v>0</v>
      </c>
      <c r="T19" s="99">
        <v>0</v>
      </c>
      <c r="U19" s="100">
        <f t="shared" si="3"/>
        <v>1446</v>
      </c>
      <c r="V19" s="101">
        <f t="shared" si="4"/>
        <v>21631</v>
      </c>
    </row>
    <row r="20" spans="1:22" ht="19.5" customHeight="1" x14ac:dyDescent="0.25">
      <c r="A20" s="95">
        <v>15</v>
      </c>
      <c r="B20" s="95" t="str">
        <f>'👥 EMPLOYEE MASTER'!B18</f>
        <v>E015</v>
      </c>
      <c r="C20" s="56" t="str">
        <f>'👥 EMPLOYEE MASTER'!C18</f>
        <v>Karthik Ramesh Pillai</v>
      </c>
      <c r="D20" s="56" t="str">
        <f>'👥 EMPLOYEE MASTER'!E18</f>
        <v>Technology</v>
      </c>
      <c r="E20" s="96">
        <v>26</v>
      </c>
      <c r="F20" s="96">
        <v>26</v>
      </c>
      <c r="G20" s="96">
        <v>0</v>
      </c>
      <c r="H20" s="96">
        <v>0</v>
      </c>
      <c r="I20" s="58">
        <f>IFERROR(ROUND('👥 EMPLOYEE MASTER'!H18*(F20+G20)/E20,0),0)</f>
        <v>18000</v>
      </c>
      <c r="J20" s="58">
        <f>IFERROR(ROUND('👥 EMPLOYEE MASTER'!I18*(F20+G20)/E20,0),0)</f>
        <v>9000</v>
      </c>
      <c r="K20" s="58">
        <f>IFERROR(ROUND('👥 EMPLOYEE MASTER'!J18*(F20+G20)/E20,0),0)</f>
        <v>8150</v>
      </c>
      <c r="L20" s="58">
        <f>IFERROR(ROUND('👥 EMPLOYEE MASTER'!K18*(F20+G20)/E20,0),0)</f>
        <v>2000</v>
      </c>
      <c r="M20" s="58">
        <f t="shared" si="0"/>
        <v>1600</v>
      </c>
      <c r="N20" s="58">
        <f t="shared" si="1"/>
        <v>1250</v>
      </c>
      <c r="O20" s="97">
        <f t="shared" si="2"/>
        <v>40000</v>
      </c>
      <c r="P20" s="98">
        <f>IFERROR(ROUND(I20*'⚙ PAYROLL SETUP'!B5,0),0)</f>
        <v>2160</v>
      </c>
      <c r="Q20" s="98">
        <f>IFERROR(IF(O20&lt;='⚙ PAYROLL SETUP'!B12,ROUND(O20*'⚙ PAYROLL SETUP'!B8,0),0),0)</f>
        <v>0</v>
      </c>
      <c r="R20" s="98">
        <f>IF(O20&gt;10000,'⚙ PAYROLL SETUP'!B10,0)</f>
        <v>200</v>
      </c>
      <c r="S20" s="61">
        <f>IFERROR(ROUND(((IF(MAX(0,(O20*12)-'⚙ PAYROLL SETUP'!B45)&lt;='⚙ PAYROLL SETUP'!B46,0,MIN((MAX(0,MIN(MAX(0,(O20*12)-'⚙ PAYROLL SETUP'!B45),'⚙ PAYROLL SETUP'!B38)-'⚙ PAYROLL SETUP'!A38)*'⚙ PAYROLL SETUP'!C38+MAX(0,MIN(MAX(0,(O20*12)-'⚙ PAYROLL SETUP'!B45),'⚙ PAYROLL SETUP'!B39)-'⚙ PAYROLL SETUP'!A39)*'⚙ PAYROLL SETUP'!C39+MAX(0,MIN(MAX(0,(O20*12)-'⚙ PAYROLL SETUP'!B45),'⚙ PAYROLL SETUP'!B40)-'⚙ PAYROLL SETUP'!A40)*'⚙ PAYROLL SETUP'!C40+MAX(0,MIN(MAX(0,(O20*12)-'⚙ PAYROLL SETUP'!B45),'⚙ PAYROLL SETUP'!B41)-'⚙ PAYROLL SETUP'!A41)*'⚙ PAYROLL SETUP'!C41+MAX(0,MIN(MAX(0,(O20*12)-'⚙ PAYROLL SETUP'!B45),'⚙ PAYROLL SETUP'!B42)-'⚙ PAYROLL SETUP'!A42)*'⚙ PAYROLL SETUP'!C42+MAX(0,MIN(MAX(0,(O20*12)-'⚙ PAYROLL SETUP'!B45),'⚙ PAYROLL SETUP'!B43)-'⚙ PAYROLL SETUP'!A43)*'⚙ PAYROLL SETUP'!C43+MAX(0,MIN(MAX(0,(O20*12)-'⚙ PAYROLL SETUP'!B45),'⚙ PAYROLL SETUP'!B44)-'⚙ PAYROLL SETUP'!A44)*'⚙ PAYROLL SETUP'!C44),MAX(0,(O20*12)-'⚙ PAYROLL SETUP'!B45)-'⚙ PAYROLL SETUP'!B46)))*(1+'⚙ PAYROLL SETUP'!B47))/12,0),0)</f>
        <v>0</v>
      </c>
      <c r="T20" s="99">
        <v>0</v>
      </c>
      <c r="U20" s="100">
        <f t="shared" si="3"/>
        <v>2360</v>
      </c>
      <c r="V20" s="101">
        <f t="shared" si="4"/>
        <v>37640</v>
      </c>
    </row>
    <row r="21" spans="1:22" ht="24" customHeight="1" x14ac:dyDescent="0.25">
      <c r="A21" s="103" t="s">
        <v>257</v>
      </c>
      <c r="B21" s="103"/>
      <c r="C21" s="103"/>
      <c r="D21" s="103"/>
      <c r="E21" s="54">
        <f t="shared" ref="E21:V21" si="5">SUM(E6:E20)</f>
        <v>390</v>
      </c>
      <c r="F21" s="54">
        <f t="shared" si="5"/>
        <v>381</v>
      </c>
      <c r="G21" s="54">
        <f t="shared" si="5"/>
        <v>0</v>
      </c>
      <c r="H21" s="54">
        <f t="shared" si="5"/>
        <v>9</v>
      </c>
      <c r="I21" s="54">
        <f t="shared" si="5"/>
        <v>359366</v>
      </c>
      <c r="J21" s="54">
        <f t="shared" si="5"/>
        <v>179682</v>
      </c>
      <c r="K21" s="54">
        <f t="shared" si="5"/>
        <v>142365</v>
      </c>
      <c r="L21" s="54">
        <f t="shared" si="5"/>
        <v>36597</v>
      </c>
      <c r="M21" s="54">
        <f t="shared" si="5"/>
        <v>23445</v>
      </c>
      <c r="N21" s="54">
        <f t="shared" si="5"/>
        <v>18318</v>
      </c>
      <c r="O21" s="54">
        <f t="shared" si="5"/>
        <v>759773</v>
      </c>
      <c r="P21" s="54">
        <f t="shared" si="5"/>
        <v>43123</v>
      </c>
      <c r="Q21" s="54">
        <f t="shared" si="5"/>
        <v>0</v>
      </c>
      <c r="R21" s="54">
        <f t="shared" si="5"/>
        <v>3000</v>
      </c>
      <c r="S21" s="54">
        <f t="shared" si="5"/>
        <v>8570</v>
      </c>
      <c r="T21" s="54">
        <f t="shared" si="5"/>
        <v>0</v>
      </c>
      <c r="U21" s="54">
        <f t="shared" si="5"/>
        <v>54693</v>
      </c>
      <c r="V21" s="54">
        <f t="shared" si="5"/>
        <v>705080</v>
      </c>
    </row>
    <row r="23" spans="1:22" ht="15" customHeight="1" x14ac:dyDescent="0.25">
      <c r="A23" s="63" t="s">
        <v>258</v>
      </c>
      <c r="B23" s="63"/>
      <c r="C23" s="63"/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</row>
  </sheetData>
  <sheetProtection algorithmName="SHA-512" hashValue="CUX4XkguAmZHM/sD0ltc59pKt8Obpmsn66gLuUx5j9jme59yRYbLbs4taMrauqPq4QRmZzHFrxDI3tTUVGM7tA==" saltValue="wS+JebV8znyhU9E4NFy02w==" spinCount="100000" sheet="1" objects="1" scenarios="1"/>
  <mergeCells count="9">
    <mergeCell ref="A21:D21"/>
    <mergeCell ref="A23:V23"/>
    <mergeCell ref="A1:V1"/>
    <mergeCell ref="A2:V2"/>
    <mergeCell ref="A3:D3"/>
    <mergeCell ref="F3:H3"/>
    <mergeCell ref="A4:H4"/>
    <mergeCell ref="I4:O4"/>
    <mergeCell ref="P4:V4"/>
  </mergeCells>
  <pageMargins left="0.75" right="0.75" top="1" bottom="1" header="0.511811023622047" footer="0.511811023622047"/>
  <pageSetup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D4AC0D"/>
  </sheetPr>
  <dimension ref="B1:E44"/>
  <sheetViews>
    <sheetView zoomScaleNormal="100" workbookViewId="0">
      <pane xSplit="1" ySplit="2" topLeftCell="B9" activePane="bottomRight" state="frozen"/>
      <selection pane="topRight" activeCell="B1" sqref="B1"/>
      <selection pane="bottomLeft" activeCell="A3" sqref="A3"/>
      <selection pane="bottomRight" activeCell="B1" sqref="B1:E1"/>
    </sheetView>
  </sheetViews>
  <sheetFormatPr defaultColWidth="8.7109375" defaultRowHeight="15" x14ac:dyDescent="0.25"/>
  <cols>
    <col min="1" max="1" width="3" style="35" customWidth="1"/>
    <col min="2" max="2" width="24" style="35" customWidth="1"/>
    <col min="3" max="4" width="18" style="35" customWidth="1"/>
    <col min="5" max="5" width="34.85546875" style="35" customWidth="1"/>
    <col min="6" max="6" width="3" style="35" customWidth="1"/>
    <col min="7" max="16384" width="8.7109375" style="35"/>
  </cols>
  <sheetData>
    <row r="1" spans="2:5" ht="27.75" customHeight="1" x14ac:dyDescent="0.25">
      <c r="B1" s="89" t="s">
        <v>259</v>
      </c>
      <c r="C1" s="89"/>
      <c r="D1" s="89"/>
      <c r="E1" s="89"/>
    </row>
    <row r="2" spans="2:5" ht="21.75" customHeight="1" x14ac:dyDescent="0.25">
      <c r="B2" s="65" t="s">
        <v>260</v>
      </c>
      <c r="C2" s="65"/>
      <c r="D2" s="66" t="s">
        <v>160</v>
      </c>
      <c r="E2" s="67" t="s">
        <v>261</v>
      </c>
    </row>
    <row r="4" spans="2:5" ht="27.75" customHeight="1" x14ac:dyDescent="0.25">
      <c r="B4" s="68" t="s">
        <v>262</v>
      </c>
      <c r="C4" s="68"/>
      <c r="D4" s="68"/>
      <c r="E4" s="68"/>
    </row>
    <row r="5" spans="2:5" ht="18" customHeight="1" x14ac:dyDescent="0.25">
      <c r="B5" s="69" t="s">
        <v>263</v>
      </c>
      <c r="C5" s="69"/>
      <c r="D5" s="69"/>
      <c r="E5" s="69"/>
    </row>
    <row r="6" spans="2:5" ht="21.75" customHeight="1" x14ac:dyDescent="0.25">
      <c r="B6" s="70" t="s">
        <v>264</v>
      </c>
      <c r="C6" s="70"/>
      <c r="D6" s="70"/>
      <c r="E6" s="70"/>
    </row>
    <row r="7" spans="2:5" ht="7.5" customHeight="1" x14ac:dyDescent="0.25"/>
    <row r="8" spans="2:5" ht="18" customHeight="1" x14ac:dyDescent="0.25">
      <c r="B8" s="71" t="s">
        <v>265</v>
      </c>
      <c r="C8" s="71"/>
      <c r="D8" s="71"/>
      <c r="E8" s="71"/>
    </row>
    <row r="9" spans="2:5" ht="18.75" customHeight="1" x14ac:dyDescent="0.25">
      <c r="B9" s="72" t="s">
        <v>149</v>
      </c>
      <c r="C9" s="39" t="str">
        <f>IFERROR(INDEX('👥 EMPLOYEE MASTER'!C4:C18,MATCH(D2,'👥 EMPLOYEE MASTER'!B4:B18,0)),"")</f>
        <v>Rajesh Kumar Sharma</v>
      </c>
      <c r="D9" s="72" t="s">
        <v>148</v>
      </c>
      <c r="E9" s="39" t="str">
        <f>IFERROR(INDEX('👥 EMPLOYEE MASTER'!B4:B18,MATCH(D2,'👥 EMPLOYEE MASTER'!B4:B18,0)),"")</f>
        <v>E001</v>
      </c>
    </row>
    <row r="10" spans="2:5" ht="18.75" customHeight="1" x14ac:dyDescent="0.25">
      <c r="B10" s="72" t="s">
        <v>150</v>
      </c>
      <c r="C10" s="39" t="str">
        <f>IFERROR(INDEX('👥 EMPLOYEE MASTER'!D4:D18,MATCH(D2,'👥 EMPLOYEE MASTER'!B4:B18,0)),"")</f>
        <v>General Manager</v>
      </c>
      <c r="D10" s="72" t="s">
        <v>151</v>
      </c>
      <c r="E10" s="39" t="str">
        <f>IFERROR(INDEX('👥 EMPLOYEE MASTER'!E4:E18,MATCH(D2,'👥 EMPLOYEE MASTER'!B4:B18,0)),"")</f>
        <v>Operations</v>
      </c>
    </row>
    <row r="11" spans="2:5" ht="18.75" customHeight="1" x14ac:dyDescent="0.25">
      <c r="B11" s="72" t="s">
        <v>266</v>
      </c>
      <c r="C11" s="39" t="str">
        <f>IFERROR(INDEX('👥 EMPLOYEE MASTER'!F4:F18,MATCH(D2,'👥 EMPLOYEE MASTER'!B4:B18,0)),"")</f>
        <v>01-Apr-22</v>
      </c>
      <c r="D11" s="72" t="s">
        <v>159</v>
      </c>
      <c r="E11" s="39" t="str">
        <f>IFERROR(INDEX('👥 EMPLOYEE MASTER'!M4:M18,MATCH(D2,'👥 EMPLOYEE MASTER'!B4:B18,0)),"")</f>
        <v>XXXXX0000X</v>
      </c>
    </row>
    <row r="12" spans="2:5" ht="18.75" customHeight="1" x14ac:dyDescent="0.25">
      <c r="B12" s="72" t="s">
        <v>158</v>
      </c>
      <c r="C12" s="39" t="str">
        <f>IFERROR(INDEX('👥 EMPLOYEE MASTER'!L4:L18,MATCH(D2,'👥 EMPLOYEE MASTER'!B4:B18,0)),"")</f>
        <v>XXXX-XXXX-XXXX</v>
      </c>
      <c r="D12" s="72" t="s">
        <v>267</v>
      </c>
      <c r="E12" s="39" t="s">
        <v>8</v>
      </c>
    </row>
    <row r="13" spans="2:5" ht="7.5" customHeight="1" x14ac:dyDescent="0.25"/>
    <row r="14" spans="2:5" ht="18" customHeight="1" x14ac:dyDescent="0.25">
      <c r="B14" s="71" t="s">
        <v>268</v>
      </c>
      <c r="C14" s="71"/>
      <c r="D14" s="71"/>
      <c r="E14" s="71"/>
    </row>
    <row r="15" spans="2:5" ht="18.75" customHeight="1" x14ac:dyDescent="0.25">
      <c r="B15" s="72" t="s">
        <v>269</v>
      </c>
      <c r="C15" s="73">
        <f>IFERROR(INDEX('📋 SALARY REGISTER'!E6:E20,MATCH(D2,'📋 SALARY REGISTER'!B6:B20,0)),"0")</f>
        <v>26</v>
      </c>
      <c r="D15" s="72" t="s">
        <v>270</v>
      </c>
      <c r="E15" s="73">
        <f>IFERROR(INDEX('📋 SALARY REGISTER'!F6:F20,MATCH(D2,'📋 SALARY REGISTER'!B6:B20,0)),"0")</f>
        <v>26</v>
      </c>
    </row>
    <row r="16" spans="2:5" ht="18.75" customHeight="1" x14ac:dyDescent="0.25">
      <c r="B16" s="72" t="s">
        <v>271</v>
      </c>
      <c r="C16" s="73">
        <f>IFERROR(INDEX('📋 SALARY REGISTER'!G6:G20,MATCH(D2,'📋 SALARY REGISTER'!B6:B20,0)),"0")</f>
        <v>0</v>
      </c>
      <c r="D16" s="72" t="s">
        <v>272</v>
      </c>
      <c r="E16" s="73">
        <f>IFERROR(INDEX('📋 SALARY REGISTER'!H6:H20,MATCH(D2,'📋 SALARY REGISTER'!B6:B20,0)),"0")</f>
        <v>0</v>
      </c>
    </row>
    <row r="17" spans="2:5" ht="7.5" customHeight="1" x14ac:dyDescent="0.25"/>
    <row r="18" spans="2:5" ht="18" customHeight="1" x14ac:dyDescent="0.25">
      <c r="B18" s="74" t="s">
        <v>273</v>
      </c>
      <c r="C18" s="74"/>
      <c r="D18" s="74"/>
      <c r="E18" s="74"/>
    </row>
    <row r="19" spans="2:5" ht="18.75" customHeight="1" x14ac:dyDescent="0.25">
      <c r="B19" s="75" t="s">
        <v>88</v>
      </c>
      <c r="C19" s="75"/>
      <c r="D19" s="76">
        <f>IFERROR(INDEX('📋 SALARY REGISTER'!I6:I20,MATCH(D2,'📋 SALARY REGISTER'!B6:B20,0)),"0")</f>
        <v>75000</v>
      </c>
      <c r="E19" s="76"/>
    </row>
    <row r="20" spans="2:5" ht="18.75" customHeight="1" x14ac:dyDescent="0.25">
      <c r="B20" s="75" t="s">
        <v>274</v>
      </c>
      <c r="C20" s="75"/>
      <c r="D20" s="76">
        <f>IFERROR(INDEX('📋 SALARY REGISTER'!J6:J20,MATCH(D2,'📋 SALARY REGISTER'!B6:B20,0)),"0")</f>
        <v>37500</v>
      </c>
      <c r="E20" s="76"/>
    </row>
    <row r="21" spans="2:5" ht="18.75" customHeight="1" x14ac:dyDescent="0.25">
      <c r="B21" s="75" t="s">
        <v>101</v>
      </c>
      <c r="C21" s="75"/>
      <c r="D21" s="76">
        <f>IFERROR(INDEX('📋 SALARY REGISTER'!K6:K20,MATCH(D2,'📋 SALARY REGISTER'!B6:B20,0)),"0")</f>
        <v>7500</v>
      </c>
      <c r="E21" s="76"/>
    </row>
    <row r="22" spans="2:5" ht="18.75" customHeight="1" x14ac:dyDescent="0.25">
      <c r="B22" s="75" t="s">
        <v>275</v>
      </c>
      <c r="C22" s="75"/>
      <c r="D22" s="76">
        <f>IFERROR(INDEX('📋 SALARY REGISTER'!L6:L20,MATCH(D2,'📋 SALARY REGISTER'!B6:B20,0)),"0")</f>
        <v>5000</v>
      </c>
      <c r="E22" s="76"/>
    </row>
    <row r="23" spans="2:5" ht="18.75" customHeight="1" x14ac:dyDescent="0.25">
      <c r="B23" s="75" t="s">
        <v>112</v>
      </c>
      <c r="C23" s="75"/>
      <c r="D23" s="76">
        <f>IFERROR(INDEX('📋 SALARY REGISTER'!M6:M20,MATCH(D2,'📋 SALARY REGISTER'!B6:B20,0)),"0")</f>
        <v>1600</v>
      </c>
      <c r="E23" s="76"/>
    </row>
    <row r="24" spans="2:5" ht="18.75" customHeight="1" x14ac:dyDescent="0.25">
      <c r="B24" s="75" t="s">
        <v>109</v>
      </c>
      <c r="C24" s="75"/>
      <c r="D24" s="76">
        <f>IFERROR(INDEX('📋 SALARY REGISTER'!N6:N20,MATCH(D2,'📋 SALARY REGISTER'!B6:B20,0)),"0")</f>
        <v>1250</v>
      </c>
      <c r="E24" s="76"/>
    </row>
    <row r="25" spans="2:5" ht="4.5" customHeight="1" x14ac:dyDescent="0.25"/>
    <row r="26" spans="2:5" ht="21.75" customHeight="1" x14ac:dyDescent="0.25">
      <c r="B26" s="77" t="s">
        <v>276</v>
      </c>
      <c r="C26" s="77"/>
      <c r="D26" s="78">
        <f>IFERROR(INDEX('📋 SALARY REGISTER'!O6:O20,MATCH(D2,'📋 SALARY REGISTER'!B6:B20,0)),"0")</f>
        <v>127850</v>
      </c>
      <c r="E26" s="78"/>
    </row>
    <row r="27" spans="2:5" ht="18" customHeight="1" x14ac:dyDescent="0.25">
      <c r="B27" s="79" t="s">
        <v>277</v>
      </c>
      <c r="C27" s="79"/>
      <c r="D27" s="79"/>
      <c r="E27" s="79"/>
    </row>
    <row r="28" spans="2:5" ht="18.75" customHeight="1" x14ac:dyDescent="0.25">
      <c r="B28" s="75" t="s">
        <v>278</v>
      </c>
      <c r="C28" s="75"/>
      <c r="D28" s="76">
        <f>IFERROR(INDEX('📋 SALARY REGISTER'!P6:P20,MATCH(D2,'📋 SALARY REGISTER'!B6:B20,0)),"0")</f>
        <v>9000</v>
      </c>
      <c r="E28" s="76"/>
    </row>
    <row r="29" spans="2:5" ht="18.75" customHeight="1" x14ac:dyDescent="0.25">
      <c r="B29" s="75" t="s">
        <v>279</v>
      </c>
      <c r="C29" s="75"/>
      <c r="D29" s="76">
        <f>IFERROR(INDEX('📋 SALARY REGISTER'!Q6:Q20,MATCH(D2,'📋 SALARY REGISTER'!B6:B20,0)),"0")</f>
        <v>0</v>
      </c>
      <c r="E29" s="76"/>
    </row>
    <row r="30" spans="2:5" ht="18.75" customHeight="1" x14ac:dyDescent="0.25">
      <c r="B30" s="75" t="s">
        <v>15</v>
      </c>
      <c r="C30" s="75"/>
      <c r="D30" s="76">
        <f>IFERROR(INDEX('📋 SALARY REGISTER'!R6:R20,MATCH(D2,'📋 SALARY REGISTER'!B6:B20,0)),"0")</f>
        <v>200</v>
      </c>
      <c r="E30" s="76"/>
    </row>
    <row r="31" spans="2:5" ht="18.75" customHeight="1" x14ac:dyDescent="0.25">
      <c r="B31" s="75" t="s">
        <v>280</v>
      </c>
      <c r="C31" s="75"/>
      <c r="D31" s="76">
        <f>IFERROR(INDEX('📋 SALARY REGISTER'!S6:S20,MATCH(D2,'📋 SALARY REGISTER'!B6:B20,0)),"0")</f>
        <v>8570</v>
      </c>
      <c r="E31" s="76"/>
    </row>
    <row r="32" spans="2:5" ht="18.75" customHeight="1" x14ac:dyDescent="0.25">
      <c r="B32" s="75" t="s">
        <v>281</v>
      </c>
      <c r="C32" s="75"/>
      <c r="D32" s="76">
        <f>IFERROR(INDEX('📋 SALARY REGISTER'!T6:T20,MATCH(D2,'📋 SALARY REGISTER'!B6:B20,0)),"0")</f>
        <v>0</v>
      </c>
      <c r="E32" s="76"/>
    </row>
    <row r="33" spans="2:5" ht="4.5" customHeight="1" x14ac:dyDescent="0.25"/>
    <row r="34" spans="2:5" ht="21.75" customHeight="1" x14ac:dyDescent="0.25">
      <c r="B34" s="77" t="s">
        <v>282</v>
      </c>
      <c r="C34" s="77"/>
      <c r="D34" s="78">
        <f>IFERROR(INDEX('📋 SALARY REGISTER'!U6:U20,MATCH(D2,'📋 SALARY REGISTER'!B6:B20,0)),"0")</f>
        <v>17770</v>
      </c>
      <c r="E34" s="78"/>
    </row>
    <row r="35" spans="2:5" ht="7.5" customHeight="1" x14ac:dyDescent="0.25"/>
    <row r="36" spans="2:5" ht="31.5" customHeight="1" x14ac:dyDescent="0.25">
      <c r="B36" s="80" t="s">
        <v>283</v>
      </c>
      <c r="C36" s="80"/>
      <c r="D36" s="81">
        <f>IFERROR(INDEX('📋 SALARY REGISTER'!V6:V20,MATCH(D2,'📋 SALARY REGISTER'!B6:B20,0)),0)</f>
        <v>110080</v>
      </c>
      <c r="E36" s="81"/>
    </row>
    <row r="37" spans="2:5" ht="18" customHeight="1" x14ac:dyDescent="0.25">
      <c r="B37" s="36" t="s">
        <v>284</v>
      </c>
      <c r="C37" s="36"/>
      <c r="D37" s="36"/>
      <c r="E37" s="36"/>
    </row>
    <row r="38" spans="2:5" ht="7.5" customHeight="1" x14ac:dyDescent="0.25"/>
    <row r="39" spans="2:5" ht="18" customHeight="1" x14ac:dyDescent="0.25">
      <c r="B39" s="82" t="s">
        <v>285</v>
      </c>
      <c r="C39" s="82"/>
      <c r="D39" s="82"/>
      <c r="E39" s="82"/>
    </row>
    <row r="40" spans="2:5" ht="18" customHeight="1" x14ac:dyDescent="0.25">
      <c r="B40" s="83" t="s">
        <v>286</v>
      </c>
      <c r="C40" s="84">
        <f>IFERROR(IF(IFERROR(INDEX('📋 SALARY REGISTER'!I6:I20,MATCH(D2,'📋 SALARY REGISTER'!B6:B20,0)),"0")&lt;=21000,ROUND(IFERROR(INDEX('📋 SALARY REGISTER'!I6:I20,MATCH(D2,'📋 SALARY REGISTER'!B6:B20,0)),"0")*0.0325,0),0),0)</f>
        <v>0</v>
      </c>
      <c r="D40" s="85" t="s">
        <v>287</v>
      </c>
      <c r="E40" s="86"/>
    </row>
    <row r="41" spans="2:5" ht="18" customHeight="1" x14ac:dyDescent="0.25">
      <c r="B41" s="83" t="s">
        <v>288</v>
      </c>
      <c r="C41" s="84">
        <f>IFERROR(IF(IFERROR(INDEX('📋 SALARY REGISTER'!O6:O20,MATCH(D2,'📋 SALARY REGISTER'!B6:B20,0)),"0")&lt;=21000,ROUND(IFERROR(INDEX('📋 SALARY REGISTER'!O6:O20,MATCH(D2,'📋 SALARY REGISTER'!B6:B20,0)),"0")*0.0325,0),0),0)</f>
        <v>0</v>
      </c>
      <c r="D41" s="85" t="s">
        <v>289</v>
      </c>
      <c r="E41" s="86"/>
    </row>
    <row r="42" spans="2:5" ht="7.5" customHeight="1" x14ac:dyDescent="0.25"/>
    <row r="43" spans="2:5" ht="39.75" customHeight="1" x14ac:dyDescent="0.25">
      <c r="B43" s="87" t="s">
        <v>290</v>
      </c>
      <c r="C43" s="87"/>
      <c r="D43" s="87" t="s">
        <v>291</v>
      </c>
      <c r="E43" s="87"/>
    </row>
    <row r="44" spans="2:5" ht="15.75" customHeight="1" x14ac:dyDescent="0.25">
      <c r="B44" s="88" t="s">
        <v>292</v>
      </c>
      <c r="C44" s="88"/>
      <c r="D44" s="88"/>
      <c r="E44" s="88"/>
    </row>
  </sheetData>
  <sheetProtection algorithmName="SHA-512" hashValue="GAKlow0YnY9kdyWeCAwEw1lYazEVxqcmn4HislCJX1gDcwRczJmCKXPUEM2/N9+Q5xoGFtPTRhQ6qrwxfljhjw==" saltValue="6IRjYUJo6tJP9fbXberU7A==" spinCount="100000" sheet="1" objects="1" scenarios="1"/>
  <mergeCells count="42">
    <mergeCell ref="B1:E1"/>
    <mergeCell ref="B2:C2"/>
    <mergeCell ref="B4:E4"/>
    <mergeCell ref="B5:E5"/>
    <mergeCell ref="B6:E6"/>
    <mergeCell ref="B8:E8"/>
    <mergeCell ref="B14:E14"/>
    <mergeCell ref="B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6:C26"/>
    <mergeCell ref="D26:E26"/>
    <mergeCell ref="B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9:E39"/>
    <mergeCell ref="B43:C43"/>
    <mergeCell ref="D43:E43"/>
    <mergeCell ref="B44:E44"/>
    <mergeCell ref="B34:C34"/>
    <mergeCell ref="D34:E34"/>
    <mergeCell ref="B36:C36"/>
    <mergeCell ref="D36:E36"/>
    <mergeCell ref="B37:E37"/>
  </mergeCells>
  <pageMargins left="0.75" right="0.75" top="1" bottom="1" header="0.511811023622047" footer="0.511811023622047"/>
  <pageSetup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A04000"/>
  </sheetPr>
  <dimension ref="A1:G33"/>
  <sheetViews>
    <sheetView zoomScaleNormal="100" workbookViewId="0">
      <pane ySplit="4" topLeftCell="A5" activePane="bottomLeft" state="frozen"/>
      <selection pane="bottomLeft" sqref="A1:G1"/>
    </sheetView>
  </sheetViews>
  <sheetFormatPr defaultColWidth="8.7109375" defaultRowHeight="15" x14ac:dyDescent="0.25"/>
  <cols>
    <col min="1" max="1" width="28" style="35" customWidth="1"/>
    <col min="2" max="7" width="16" style="35" customWidth="1"/>
    <col min="8" max="16384" width="8.7109375" style="35"/>
  </cols>
  <sheetData>
    <row r="1" spans="1:7" ht="30" customHeight="1" x14ac:dyDescent="0.25">
      <c r="A1" s="64" t="s">
        <v>293</v>
      </c>
      <c r="B1" s="64"/>
      <c r="C1" s="64"/>
      <c r="D1" s="64"/>
      <c r="E1" s="64"/>
      <c r="F1" s="64"/>
      <c r="G1" s="64"/>
    </row>
    <row r="2" spans="1:7" ht="15" customHeight="1" x14ac:dyDescent="0.25">
      <c r="A2" s="36" t="s">
        <v>294</v>
      </c>
      <c r="B2" s="36"/>
      <c r="C2" s="36"/>
      <c r="D2" s="36"/>
      <c r="E2" s="36"/>
      <c r="F2" s="36"/>
      <c r="G2" s="36"/>
    </row>
    <row r="3" spans="1:7" ht="21.75" customHeight="1" x14ac:dyDescent="0.25">
      <c r="A3" s="37" t="s">
        <v>295</v>
      </c>
      <c r="B3" s="37"/>
      <c r="C3" s="37"/>
      <c r="D3" s="37"/>
      <c r="E3" s="37"/>
      <c r="F3" s="37"/>
      <c r="G3" s="37"/>
    </row>
    <row r="4" spans="1:7" ht="19.5" customHeight="1" x14ac:dyDescent="0.25">
      <c r="A4" s="38" t="s">
        <v>296</v>
      </c>
      <c r="B4" s="38" t="s">
        <v>297</v>
      </c>
      <c r="C4" s="38" t="s">
        <v>298</v>
      </c>
      <c r="D4" s="38" t="s">
        <v>87</v>
      </c>
      <c r="E4" s="38"/>
      <c r="F4" s="38"/>
      <c r="G4" s="38"/>
    </row>
    <row r="5" spans="1:7" ht="19.5" customHeight="1" x14ac:dyDescent="0.25">
      <c r="A5" s="39" t="s">
        <v>299</v>
      </c>
      <c r="B5" s="40">
        <f>'📋 SALARY REGISTER'!O21</f>
        <v>759773</v>
      </c>
      <c r="C5" s="41" t="s">
        <v>300</v>
      </c>
      <c r="D5" s="42"/>
      <c r="E5" s="42"/>
      <c r="F5" s="42"/>
      <c r="G5" s="42"/>
    </row>
    <row r="6" spans="1:7" ht="19.5" customHeight="1" x14ac:dyDescent="0.25">
      <c r="A6" s="39" t="s">
        <v>301</v>
      </c>
      <c r="B6" s="40">
        <f>'📋 SALARY REGISTER'!V21</f>
        <v>705080</v>
      </c>
      <c r="C6" s="41">
        <f>IFERROR(B6/B5,0)</f>
        <v>0.92801402524174981</v>
      </c>
      <c r="D6" s="42"/>
      <c r="E6" s="42"/>
      <c r="F6" s="42"/>
      <c r="G6" s="42"/>
    </row>
    <row r="7" spans="1:7" ht="19.5" customHeight="1" x14ac:dyDescent="0.25">
      <c r="A7" s="39" t="s">
        <v>302</v>
      </c>
      <c r="B7" s="43">
        <f>'📋 SALARY REGISTER'!P21</f>
        <v>43123</v>
      </c>
      <c r="C7" s="41">
        <f>IFERROR(B7/B5,0)</f>
        <v>5.6757742115079106E-2</v>
      </c>
      <c r="D7" s="42"/>
      <c r="E7" s="42"/>
      <c r="F7" s="42"/>
      <c r="G7" s="42"/>
    </row>
    <row r="8" spans="1:7" ht="19.5" customHeight="1" x14ac:dyDescent="0.25">
      <c r="A8" s="39" t="s">
        <v>303</v>
      </c>
      <c r="B8" s="43">
        <f>'📋 SALARY REGISTER'!Q21</f>
        <v>0</v>
      </c>
      <c r="C8" s="41">
        <f>IFERROR(B8/B5,0)</f>
        <v>0</v>
      </c>
      <c r="D8" s="42"/>
      <c r="E8" s="42"/>
      <c r="F8" s="42"/>
      <c r="G8" s="42"/>
    </row>
    <row r="9" spans="1:7" ht="19.5" customHeight="1" x14ac:dyDescent="0.25">
      <c r="A9" s="39" t="s">
        <v>304</v>
      </c>
      <c r="B9" s="43">
        <f>'📋 SALARY REGISTER'!R21</f>
        <v>3000</v>
      </c>
      <c r="C9" s="41">
        <f>IFERROR(B9/B5,0)</f>
        <v>3.9485477899319932E-3</v>
      </c>
      <c r="D9" s="42"/>
      <c r="E9" s="42"/>
      <c r="F9" s="42"/>
      <c r="G9" s="42"/>
    </row>
    <row r="10" spans="1:7" ht="19.5" customHeight="1" x14ac:dyDescent="0.25">
      <c r="A10" s="39" t="s">
        <v>305</v>
      </c>
      <c r="B10" s="44">
        <f>'📋 SALARY REGISTER'!S21</f>
        <v>8570</v>
      </c>
      <c r="C10" s="41">
        <f>IFERROR(B10/B5,0)</f>
        <v>1.1279684853239059E-2</v>
      </c>
      <c r="D10" s="42"/>
      <c r="E10" s="42"/>
      <c r="F10" s="42"/>
      <c r="G10" s="42"/>
    </row>
    <row r="11" spans="1:7" ht="19.5" customHeight="1" x14ac:dyDescent="0.25">
      <c r="A11" s="39" t="s">
        <v>306</v>
      </c>
      <c r="B11" s="45">
        <f>'📋 SALARY REGISTER'!U21</f>
        <v>54693</v>
      </c>
      <c r="C11" s="41">
        <f>IFERROR(B11/B5,0)</f>
        <v>7.1985974758250165E-2</v>
      </c>
      <c r="D11" s="42"/>
      <c r="E11" s="42"/>
      <c r="F11" s="42"/>
      <c r="G11" s="42"/>
    </row>
    <row r="12" spans="1:7" ht="19.5" customHeight="1" x14ac:dyDescent="0.25">
      <c r="A12" s="39" t="s">
        <v>307</v>
      </c>
      <c r="B12" s="46">
        <f>COUNTA('📋 SALARY REGISTER'!C6:C20)</f>
        <v>15</v>
      </c>
      <c r="C12" s="41">
        <f>IFERROR(B12/B5,0)</f>
        <v>1.9742738949659964E-5</v>
      </c>
      <c r="D12" s="42"/>
      <c r="E12" s="42"/>
      <c r="F12" s="42"/>
      <c r="G12" s="42"/>
    </row>
    <row r="14" spans="1:7" ht="21.75" customHeight="1" x14ac:dyDescent="0.25">
      <c r="A14" s="47" t="s">
        <v>308</v>
      </c>
      <c r="B14" s="47"/>
      <c r="C14" s="47"/>
      <c r="D14" s="47"/>
      <c r="E14" s="47"/>
      <c r="F14" s="47"/>
      <c r="G14" s="47"/>
    </row>
    <row r="15" spans="1:7" ht="19.5" customHeight="1" x14ac:dyDescent="0.25">
      <c r="A15" s="38" t="s">
        <v>309</v>
      </c>
      <c r="B15" s="38" t="s">
        <v>310</v>
      </c>
      <c r="C15" s="38" t="s">
        <v>311</v>
      </c>
      <c r="D15" s="38" t="s">
        <v>312</v>
      </c>
      <c r="E15" s="38" t="s">
        <v>313</v>
      </c>
      <c r="F15" s="38" t="s">
        <v>314</v>
      </c>
      <c r="G15" s="38"/>
    </row>
    <row r="16" spans="1:7" ht="19.5" customHeight="1" x14ac:dyDescent="0.25">
      <c r="A16" s="39" t="s">
        <v>315</v>
      </c>
      <c r="B16" s="48">
        <f>'📋 SALARY REGISTER'!P21</f>
        <v>43123</v>
      </c>
      <c r="C16" s="48">
        <f>IFERROR(ROUND('📋 SALARY REGISTER'!I21*0.12,0),0)</f>
        <v>43124</v>
      </c>
      <c r="D16" s="49">
        <f>B16+C16</f>
        <v>86247</v>
      </c>
      <c r="E16" s="50" t="s">
        <v>316</v>
      </c>
      <c r="F16" s="51" t="s">
        <v>317</v>
      </c>
      <c r="G16" s="52"/>
    </row>
    <row r="17" spans="1:7" ht="19.5" customHeight="1" x14ac:dyDescent="0.25">
      <c r="A17" s="39" t="s">
        <v>318</v>
      </c>
      <c r="B17" s="48">
        <f>'📋 SALARY REGISTER'!Q21</f>
        <v>0</v>
      </c>
      <c r="C17" s="48">
        <f>IFERROR(SUMPRODUCT(('📋 SALARY REGISTER'!O6:O20&lt;=21000)*('📋 SALARY REGISTER'!O6:O20)*0.0325),0)</f>
        <v>0</v>
      </c>
      <c r="D17" s="49">
        <f>B17+C17</f>
        <v>0</v>
      </c>
      <c r="E17" s="50" t="s">
        <v>319</v>
      </c>
      <c r="F17" s="51" t="s">
        <v>320</v>
      </c>
      <c r="G17" s="52"/>
    </row>
    <row r="18" spans="1:7" ht="19.5" customHeight="1" x14ac:dyDescent="0.25">
      <c r="A18" s="39" t="s">
        <v>15</v>
      </c>
      <c r="B18" s="48">
        <f>'📋 SALARY REGISTER'!R21</f>
        <v>3000</v>
      </c>
      <c r="C18" s="48">
        <v>0</v>
      </c>
      <c r="D18" s="49">
        <f>B18+C18</f>
        <v>3000</v>
      </c>
      <c r="E18" s="50" t="s">
        <v>321</v>
      </c>
      <c r="F18" s="51" t="s">
        <v>322</v>
      </c>
      <c r="G18" s="52"/>
    </row>
    <row r="19" spans="1:7" ht="19.5" customHeight="1" x14ac:dyDescent="0.25">
      <c r="A19" s="39" t="s">
        <v>323</v>
      </c>
      <c r="B19" s="48">
        <f>'📋 SALARY REGISTER'!S21</f>
        <v>8570</v>
      </c>
      <c r="C19" s="48">
        <v>0</v>
      </c>
      <c r="D19" s="49">
        <f>B19+C19</f>
        <v>8570</v>
      </c>
      <c r="E19" s="50" t="s">
        <v>324</v>
      </c>
      <c r="F19" s="51" t="s">
        <v>325</v>
      </c>
      <c r="G19" s="52"/>
    </row>
    <row r="20" spans="1:7" ht="21.75" customHeight="1" x14ac:dyDescent="0.25">
      <c r="A20" s="53" t="s">
        <v>326</v>
      </c>
      <c r="B20" s="54">
        <f>SUM(B16:B19)</f>
        <v>54693</v>
      </c>
      <c r="C20" s="54">
        <f>SUM(C16:C19)</f>
        <v>43124</v>
      </c>
      <c r="D20" s="54">
        <f>B20+C20</f>
        <v>97817</v>
      </c>
      <c r="E20" s="55"/>
      <c r="F20" s="55"/>
      <c r="G20" s="55"/>
    </row>
    <row r="22" spans="1:7" ht="21.75" customHeight="1" x14ac:dyDescent="0.25">
      <c r="A22" s="37" t="s">
        <v>327</v>
      </c>
      <c r="B22" s="37"/>
      <c r="C22" s="37"/>
      <c r="D22" s="37"/>
      <c r="E22" s="37"/>
      <c r="F22" s="37"/>
      <c r="G22" s="37"/>
    </row>
    <row r="23" spans="1:7" ht="19.5" customHeight="1" x14ac:dyDescent="0.25">
      <c r="A23" s="38" t="s">
        <v>151</v>
      </c>
      <c r="B23" s="38" t="s">
        <v>328</v>
      </c>
      <c r="C23" s="38" t="s">
        <v>329</v>
      </c>
      <c r="D23" s="38" t="s">
        <v>330</v>
      </c>
      <c r="E23" s="38" t="s">
        <v>331</v>
      </c>
      <c r="F23" s="38" t="s">
        <v>332</v>
      </c>
      <c r="G23" s="38" t="s">
        <v>333</v>
      </c>
    </row>
    <row r="24" spans="1:7" ht="19.5" customHeight="1" x14ac:dyDescent="0.25">
      <c r="A24" s="56" t="s">
        <v>170</v>
      </c>
      <c r="B24" s="57">
        <f>COUNTIF('📋 SALARY REGISTER'!D6:D20,A24)</f>
        <v>3</v>
      </c>
      <c r="C24" s="58">
        <f>SUMIF('📋 SALARY REGISTER'!D6:D20,A24,'📋 SALARY REGISTER'!O6:O20)</f>
        <v>155000</v>
      </c>
      <c r="D24" s="58">
        <f>SUMIF('📋 SALARY REGISTER'!D6:D20,A24,'📋 SALARY REGISTER'!V6:V20)</f>
        <v>146030</v>
      </c>
      <c r="E24" s="58">
        <f>SUMIF('📋 SALARY REGISTER'!D6:D20,A24,'📋 SALARY REGISTER'!P6:P20)</f>
        <v>8370</v>
      </c>
      <c r="F24" s="58">
        <f>SUMIF('📋 SALARY REGISTER'!D6:D20,A24,'📋 SALARY REGISTER'!S6:S20)</f>
        <v>0</v>
      </c>
      <c r="G24" s="59">
        <f t="shared" ref="G24:G31" si="0">IFERROR(D24/B24,0)</f>
        <v>48676.666666666664</v>
      </c>
    </row>
    <row r="25" spans="1:7" ht="19.5" customHeight="1" x14ac:dyDescent="0.25">
      <c r="A25" s="39" t="s">
        <v>180</v>
      </c>
      <c r="B25" s="60">
        <f>COUNTIF('📋 SALARY REGISTER'!D6:D20,A25)</f>
        <v>2</v>
      </c>
      <c r="C25" s="61">
        <f>SUMIF('📋 SALARY REGISTER'!D6:D20,A25,'📋 SALARY REGISTER'!O6:O20)</f>
        <v>85000</v>
      </c>
      <c r="D25" s="61">
        <f>SUMIF('📋 SALARY REGISTER'!D6:D20,A25,'📋 SALARY REGISTER'!V6:V20)</f>
        <v>80010</v>
      </c>
      <c r="E25" s="61">
        <f>SUMIF('📋 SALARY REGISTER'!D6:D20,A25,'📋 SALARY REGISTER'!P6:P20)</f>
        <v>4590</v>
      </c>
      <c r="F25" s="61">
        <f>SUMIF('📋 SALARY REGISTER'!D6:D20,A25,'📋 SALARY REGISTER'!S6:S20)</f>
        <v>0</v>
      </c>
      <c r="G25" s="62">
        <f t="shared" si="0"/>
        <v>40005</v>
      </c>
    </row>
    <row r="26" spans="1:7" ht="19.5" customHeight="1" x14ac:dyDescent="0.25">
      <c r="A26" s="56" t="s">
        <v>190</v>
      </c>
      <c r="B26" s="57">
        <f>COUNTIF('📋 SALARY REGISTER'!D6:D20,A26)</f>
        <v>1</v>
      </c>
      <c r="C26" s="58">
        <f>SUMIF('📋 SALARY REGISTER'!D6:D20,A26,'📋 SALARY REGISTER'!O6:O20)</f>
        <v>40000</v>
      </c>
      <c r="D26" s="58">
        <f>SUMIF('📋 SALARY REGISTER'!D6:D20,A26,'📋 SALARY REGISTER'!V6:V20)</f>
        <v>37640</v>
      </c>
      <c r="E26" s="58">
        <f>SUMIF('📋 SALARY REGISTER'!D6:D20,A26,'📋 SALARY REGISTER'!P6:P20)</f>
        <v>2160</v>
      </c>
      <c r="F26" s="58">
        <f>SUMIF('📋 SALARY REGISTER'!D6:D20,A26,'📋 SALARY REGISTER'!S6:S20)</f>
        <v>0</v>
      </c>
      <c r="G26" s="59">
        <f t="shared" si="0"/>
        <v>37640</v>
      </c>
    </row>
    <row r="27" spans="1:7" ht="19.5" customHeight="1" x14ac:dyDescent="0.25">
      <c r="A27" s="39" t="s">
        <v>163</v>
      </c>
      <c r="B27" s="60">
        <f>COUNTIF('📋 SALARY REGISTER'!D6:D20,A27)</f>
        <v>2</v>
      </c>
      <c r="C27" s="61">
        <f>SUMIF('📋 SALARY REGISTER'!D6:D20,A27,'📋 SALARY REGISTER'!O6:O20)</f>
        <v>176504</v>
      </c>
      <c r="D27" s="61">
        <f>SUMIF('📋 SALARY REGISTER'!D6:D20,A27,'📋 SALARY REGISTER'!V6:V20)</f>
        <v>155907</v>
      </c>
      <c r="E27" s="61">
        <f>SUMIF('📋 SALARY REGISTER'!D6:D20,A27,'📋 SALARY REGISTER'!P6:P20)</f>
        <v>11627</v>
      </c>
      <c r="F27" s="61">
        <f>SUMIF('📋 SALARY REGISTER'!D6:D20,A27,'📋 SALARY REGISTER'!S6:S20)</f>
        <v>8570</v>
      </c>
      <c r="G27" s="62">
        <f t="shared" si="0"/>
        <v>77953.5</v>
      </c>
    </row>
    <row r="28" spans="1:7" ht="19.5" customHeight="1" x14ac:dyDescent="0.25">
      <c r="A28" s="56" t="s">
        <v>185</v>
      </c>
      <c r="B28" s="57">
        <f>COUNTIF('📋 SALARY REGISTER'!D6:D20,A28)</f>
        <v>3</v>
      </c>
      <c r="C28" s="58">
        <f>SUMIF('📋 SALARY REGISTER'!D6:D20,A28,'📋 SALARY REGISTER'!O6:O20)</f>
        <v>129615</v>
      </c>
      <c r="D28" s="58">
        <f>SUMIF('📋 SALARY REGISTER'!D6:D20,A28,'📋 SALARY REGISTER'!V6:V20)</f>
        <v>122016</v>
      </c>
      <c r="E28" s="58">
        <f>SUMIF('📋 SALARY REGISTER'!D6:D20,A28,'📋 SALARY REGISTER'!P6:P20)</f>
        <v>6999</v>
      </c>
      <c r="F28" s="58">
        <f>SUMIF('📋 SALARY REGISTER'!D6:D20,A28,'📋 SALARY REGISTER'!S6:S20)</f>
        <v>0</v>
      </c>
      <c r="G28" s="59">
        <f t="shared" si="0"/>
        <v>40672</v>
      </c>
    </row>
    <row r="29" spans="1:7" ht="19.5" customHeight="1" x14ac:dyDescent="0.25">
      <c r="A29" s="39" t="s">
        <v>175</v>
      </c>
      <c r="B29" s="60">
        <f>COUNTIF('📋 SALARY REGISTER'!D6:D20,A29)</f>
        <v>3</v>
      </c>
      <c r="C29" s="61">
        <f>SUMIF('📋 SALARY REGISTER'!D6:D20,A29,'📋 SALARY REGISTER'!O6:O20)</f>
        <v>150577</v>
      </c>
      <c r="D29" s="61">
        <f>SUMIF('📋 SALARY REGISTER'!D6:D20,A29,'📋 SALARY REGISTER'!V6:V20)</f>
        <v>141846</v>
      </c>
      <c r="E29" s="61">
        <f>SUMIF('📋 SALARY REGISTER'!D6:D20,A29,'📋 SALARY REGISTER'!P6:P20)</f>
        <v>8131</v>
      </c>
      <c r="F29" s="61">
        <f>SUMIF('📋 SALARY REGISTER'!D6:D20,A29,'📋 SALARY REGISTER'!S6:S20)</f>
        <v>0</v>
      </c>
      <c r="G29" s="62">
        <f t="shared" si="0"/>
        <v>47282</v>
      </c>
    </row>
    <row r="30" spans="1:7" ht="19.5" customHeight="1" x14ac:dyDescent="0.25">
      <c r="A30" s="56" t="s">
        <v>223</v>
      </c>
      <c r="B30" s="57">
        <f>COUNTIF('📋 SALARY REGISTER'!D6:D20,A30)</f>
        <v>1</v>
      </c>
      <c r="C30" s="58">
        <f>SUMIF('📋 SALARY REGISTER'!D6:D20,A30,'📋 SALARY REGISTER'!O6:O20)</f>
        <v>23077</v>
      </c>
      <c r="D30" s="58">
        <f>SUMIF('📋 SALARY REGISTER'!D6:D20,A30,'📋 SALARY REGISTER'!V6:V20)</f>
        <v>21631</v>
      </c>
      <c r="E30" s="58">
        <f>SUMIF('📋 SALARY REGISTER'!D6:D20,A30,'📋 SALARY REGISTER'!P6:P20)</f>
        <v>1246</v>
      </c>
      <c r="F30" s="58">
        <f>SUMIF('📋 SALARY REGISTER'!D6:D20,A30,'📋 SALARY REGISTER'!S6:S20)</f>
        <v>0</v>
      </c>
      <c r="G30" s="59">
        <f t="shared" si="0"/>
        <v>21631</v>
      </c>
    </row>
    <row r="31" spans="1:7" ht="21.75" customHeight="1" x14ac:dyDescent="0.25">
      <c r="A31" s="53" t="s">
        <v>334</v>
      </c>
      <c r="B31" s="54">
        <f>SUM(B24:B30)</f>
        <v>15</v>
      </c>
      <c r="C31" s="54">
        <f>SUM(C24:C30)</f>
        <v>759773</v>
      </c>
      <c r="D31" s="54">
        <f>SUM(D24:D30)</f>
        <v>705080</v>
      </c>
      <c r="E31" s="54">
        <f>SUM(E24:E30)</f>
        <v>43123</v>
      </c>
      <c r="F31" s="54">
        <f>SUM(F24:F30)</f>
        <v>8570</v>
      </c>
      <c r="G31" s="54">
        <f t="shared" si="0"/>
        <v>47005.333333333336</v>
      </c>
    </row>
    <row r="33" spans="1:7" ht="15" customHeight="1" x14ac:dyDescent="0.25">
      <c r="A33" s="63" t="s">
        <v>335</v>
      </c>
      <c r="B33" s="63"/>
      <c r="C33" s="63"/>
      <c r="D33" s="63"/>
      <c r="E33" s="63"/>
      <c r="F33" s="63"/>
      <c r="G33" s="63"/>
    </row>
  </sheetData>
  <sheetProtection algorithmName="SHA-512" hashValue="GQPzf6Dw2HkOrvMq73nBa+LrKI4fcdkTp7qNmf2LNMpN9yCiFutcg2q3UtxDtL54540XgbhuSkAlcvD8Covypg==" saltValue="EstYPtSiXGyjWT+/H9R4hA==" spinCount="100000" sheet="1" objects="1" scenarios="1"/>
  <mergeCells count="14">
    <mergeCell ref="A1:G1"/>
    <mergeCell ref="A2:G2"/>
    <mergeCell ref="A3:G3"/>
    <mergeCell ref="D5:G5"/>
    <mergeCell ref="D6:G6"/>
    <mergeCell ref="D12:G12"/>
    <mergeCell ref="A14:G14"/>
    <mergeCell ref="A22:G22"/>
    <mergeCell ref="A33:G33"/>
    <mergeCell ref="D7:G7"/>
    <mergeCell ref="D8:G8"/>
    <mergeCell ref="D9:G9"/>
    <mergeCell ref="D10:G10"/>
    <mergeCell ref="D11:G11"/>
  </mergeCells>
  <pageMargins left="0.75" right="0.75" top="1" bottom="1" header="0.511811023622047" footer="0.511811023622047"/>
  <pageSetup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2E86C1"/>
  </sheetPr>
  <dimension ref="A1:B37"/>
  <sheetViews>
    <sheetView zoomScaleNormal="100" workbookViewId="0">
      <selection activeCell="A3" sqref="A3:B32"/>
    </sheetView>
  </sheetViews>
  <sheetFormatPr defaultColWidth="8.7109375" defaultRowHeight="15" x14ac:dyDescent="0.25"/>
  <cols>
    <col min="1" max="1" width="6" customWidth="1"/>
    <col min="2" max="2" width="72" customWidth="1"/>
  </cols>
  <sheetData>
    <row r="1" spans="1:2" ht="30" customHeight="1" x14ac:dyDescent="0.25">
      <c r="A1" s="28" t="s">
        <v>336</v>
      </c>
      <c r="B1" s="28"/>
    </row>
    <row r="3" spans="1:2" ht="19.5" customHeight="1" x14ac:dyDescent="0.25">
      <c r="A3" s="34" t="s">
        <v>337</v>
      </c>
      <c r="B3" s="34"/>
    </row>
    <row r="4" spans="1:2" ht="19.5" customHeight="1" x14ac:dyDescent="0.25">
      <c r="A4" s="30" t="s">
        <v>338</v>
      </c>
      <c r="B4" s="30"/>
    </row>
    <row r="5" spans="1:2" ht="44.25" customHeight="1" x14ac:dyDescent="0.25">
      <c r="A5" s="33" t="s">
        <v>339</v>
      </c>
      <c r="B5" s="33"/>
    </row>
    <row r="6" spans="1:2" ht="19.5" customHeight="1" x14ac:dyDescent="0.25">
      <c r="A6" s="30" t="s">
        <v>340</v>
      </c>
      <c r="B6" s="30"/>
    </row>
    <row r="7" spans="1:2" ht="44.25" customHeight="1" x14ac:dyDescent="0.25">
      <c r="A7" s="33" t="s">
        <v>341</v>
      </c>
      <c r="B7" s="33"/>
    </row>
    <row r="8" spans="1:2" ht="19.5" customHeight="1" x14ac:dyDescent="0.25">
      <c r="A8" s="30" t="s">
        <v>342</v>
      </c>
      <c r="B8" s="30"/>
    </row>
    <row r="9" spans="1:2" ht="42.75" customHeight="1" x14ac:dyDescent="0.25">
      <c r="A9" s="33" t="s">
        <v>343</v>
      </c>
      <c r="B9" s="33"/>
    </row>
    <row r="10" spans="1:2" ht="19.5" customHeight="1" x14ac:dyDescent="0.25">
      <c r="A10" s="30" t="s">
        <v>344</v>
      </c>
      <c r="B10" s="30"/>
    </row>
    <row r="11" spans="1:2" ht="36.75" customHeight="1" x14ac:dyDescent="0.25">
      <c r="A11" s="33" t="s">
        <v>345</v>
      </c>
      <c r="B11" s="33"/>
    </row>
    <row r="12" spans="1:2" ht="19.5" customHeight="1" x14ac:dyDescent="0.25">
      <c r="A12" s="30" t="s">
        <v>346</v>
      </c>
      <c r="B12" s="30"/>
    </row>
    <row r="13" spans="1:2" ht="27.75" customHeight="1" x14ac:dyDescent="0.25">
      <c r="A13" s="33" t="s">
        <v>347</v>
      </c>
      <c r="B13" s="33"/>
    </row>
    <row r="15" spans="1:2" ht="19.5" customHeight="1" x14ac:dyDescent="0.25">
      <c r="A15" s="34" t="s">
        <v>348</v>
      </c>
      <c r="B15" s="34"/>
    </row>
    <row r="16" spans="1:2" ht="19.5" customHeight="1" x14ac:dyDescent="0.25">
      <c r="A16" s="33" t="s">
        <v>349</v>
      </c>
      <c r="B16" s="33"/>
    </row>
    <row r="17" spans="1:2" ht="19.5" customHeight="1" x14ac:dyDescent="0.25">
      <c r="A17" s="33" t="s">
        <v>350</v>
      </c>
      <c r="B17" s="33"/>
    </row>
    <row r="18" spans="1:2" ht="19.5" customHeight="1" x14ac:dyDescent="0.25">
      <c r="A18" s="33" t="s">
        <v>351</v>
      </c>
      <c r="B18" s="33"/>
    </row>
    <row r="19" spans="1:2" ht="19.5" customHeight="1" x14ac:dyDescent="0.25">
      <c r="A19" s="33" t="s">
        <v>352</v>
      </c>
      <c r="B19" s="33"/>
    </row>
    <row r="20" spans="1:2" ht="19.5" customHeight="1" x14ac:dyDescent="0.25">
      <c r="A20" s="33" t="s">
        <v>353</v>
      </c>
      <c r="B20" s="33"/>
    </row>
    <row r="22" spans="1:2" ht="19.5" customHeight="1" x14ac:dyDescent="0.25">
      <c r="A22" s="34" t="s">
        <v>354</v>
      </c>
      <c r="B22" s="34"/>
    </row>
    <row r="23" spans="1:2" ht="19.5" customHeight="1" x14ac:dyDescent="0.25">
      <c r="A23" s="33" t="s">
        <v>355</v>
      </c>
      <c r="B23" s="33"/>
    </row>
    <row r="24" spans="1:2" ht="19.5" customHeight="1" x14ac:dyDescent="0.25">
      <c r="A24" s="33" t="s">
        <v>356</v>
      </c>
      <c r="B24" s="33"/>
    </row>
    <row r="25" spans="1:2" ht="19.5" customHeight="1" x14ac:dyDescent="0.25">
      <c r="A25" s="33" t="s">
        <v>357</v>
      </c>
      <c r="B25" s="33"/>
    </row>
    <row r="26" spans="1:2" ht="19.5" customHeight="1" x14ac:dyDescent="0.25">
      <c r="A26" s="33" t="s">
        <v>358</v>
      </c>
      <c r="B26" s="33"/>
    </row>
    <row r="28" spans="1:2" ht="19.5" customHeight="1" x14ac:dyDescent="0.25">
      <c r="A28" s="34" t="s">
        <v>359</v>
      </c>
      <c r="B28" s="34"/>
    </row>
    <row r="29" spans="1:2" ht="19.5" customHeight="1" x14ac:dyDescent="0.25">
      <c r="A29" s="33" t="s">
        <v>360</v>
      </c>
      <c r="B29" s="33"/>
    </row>
    <row r="30" spans="1:2" ht="19.5" customHeight="1" x14ac:dyDescent="0.25">
      <c r="A30" s="33" t="s">
        <v>361</v>
      </c>
      <c r="B30" s="33"/>
    </row>
    <row r="31" spans="1:2" ht="19.5" customHeight="1" x14ac:dyDescent="0.25">
      <c r="A31" s="33" t="s">
        <v>362</v>
      </c>
      <c r="B31" s="33"/>
    </row>
    <row r="32" spans="1:2" ht="34.5" customHeight="1" x14ac:dyDescent="0.25">
      <c r="A32" s="33" t="s">
        <v>363</v>
      </c>
      <c r="B32" s="33"/>
    </row>
    <row r="34" spans="1:2" ht="19.5" customHeight="1" x14ac:dyDescent="0.25">
      <c r="A34" s="34" t="s">
        <v>364</v>
      </c>
      <c r="B34" s="34"/>
    </row>
    <row r="35" spans="1:2" ht="19.5" customHeight="1" x14ac:dyDescent="0.25">
      <c r="A35" s="33" t="s">
        <v>365</v>
      </c>
      <c r="B35" s="33"/>
    </row>
    <row r="37" spans="1:2" ht="19.5" customHeight="1" x14ac:dyDescent="0.25">
      <c r="A37" s="32" t="s">
        <v>366</v>
      </c>
      <c r="B37" s="32"/>
    </row>
  </sheetData>
  <mergeCells count="31">
    <mergeCell ref="A1:B1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5:B15"/>
    <mergeCell ref="A16:B16"/>
    <mergeCell ref="A17:B17"/>
    <mergeCell ref="A18:B18"/>
    <mergeCell ref="A19:B19"/>
    <mergeCell ref="A20:B20"/>
    <mergeCell ref="A22:B22"/>
    <mergeCell ref="A23:B23"/>
    <mergeCell ref="A24:B24"/>
    <mergeCell ref="A25:B25"/>
    <mergeCell ref="A26:B26"/>
    <mergeCell ref="A28:B28"/>
    <mergeCell ref="A29:B29"/>
    <mergeCell ref="A37:B37"/>
    <mergeCell ref="A30:B30"/>
    <mergeCell ref="A31:B31"/>
    <mergeCell ref="A32:B32"/>
    <mergeCell ref="A34:B34"/>
    <mergeCell ref="A35:B35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🏠 COVER</vt:lpstr>
      <vt:lpstr>⚙ PAYROLL SETUP</vt:lpstr>
      <vt:lpstr>👥 EMPLOYEE MASTER</vt:lpstr>
      <vt:lpstr>📋 SALARY REGISTER</vt:lpstr>
      <vt:lpstr>💰 PAYSLIP GENERATOR</vt:lpstr>
      <vt:lpstr>📊 PAYROLL SUMMARY</vt:lpstr>
      <vt:lpstr>📖 HOW TO USE</vt:lpstr>
      <vt:lpstr>'⚙ PAYROLL SETUP'!Print_Area</vt:lpstr>
      <vt:lpstr>'👥 EMPLOYEE MASTER'!Print_Area</vt:lpstr>
      <vt:lpstr>'💰 PAYSLIP GENERATOR'!Print_Area</vt:lpstr>
      <vt:lpstr>'📊 PAYROLL SUMMARY'!Print_Area</vt:lpstr>
      <vt:lpstr>'📋 SALARY REGISTER'!Print_Area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madhu roy</cp:lastModifiedBy>
  <cp:revision>0</cp:revision>
  <dcterms:created xsi:type="dcterms:W3CDTF">2026-07-16T07:40:42Z</dcterms:created>
  <dcterms:modified xsi:type="dcterms:W3CDTF">2026-07-18T16:42:34Z</dcterms:modified>
  <dc:language>en-US</dc:language>
</cp:coreProperties>
</file>