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ACER Data website\MAYA\CAMSROY website\Excel Template\Financisl model\"/>
    </mc:Choice>
  </mc:AlternateContent>
  <xr:revisionPtr revIDLastSave="0" documentId="13_ncr:1_{33DFAEB4-146A-4720-A00E-0B2C085BB720}" xr6:coauthVersionLast="47" xr6:coauthVersionMax="47" xr10:uidLastSave="{00000000-0000-0000-0000-000000000000}"/>
  <bookViews>
    <workbookView xWindow="-120" yWindow="-120" windowWidth="25440" windowHeight="15270" tabRatio="500" xr2:uid="{00000000-000D-0000-FFFF-FFFF00000000}"/>
  </bookViews>
  <sheets>
    <sheet name="Cover" sheetId="1" r:id="rId1"/>
    <sheet name="Instructions" sheetId="2" r:id="rId2"/>
    <sheet name="Formula Guide" sheetId="3" r:id="rId3"/>
    <sheet name="Dashboard" sheetId="4" r:id="rId4"/>
    <sheet name="Assumptions" sheetId="5" r:id="rId5"/>
    <sheet name="Degradation Curve" sheetId="6" r:id="rId6"/>
    <sheet name="Degradation-Augmentation" sheetId="7" r:id="rId7"/>
    <sheet name="Revenue" sheetId="8" r:id="rId8"/>
    <sheet name="Opex" sheetId="9" r:id="rId9"/>
    <sheet name="Depreciation" sheetId="10" r:id="rId10"/>
    <sheet name="Debt Schedule" sheetId="11" r:id="rId11"/>
    <sheet name="P&amp;L" sheetId="12" r:id="rId12"/>
    <sheet name="Cash Flow" sheetId="13" r:id="rId13"/>
    <sheet name="Year 0 Phasing" sheetId="14" r:id="rId14"/>
    <sheet name="Balance Sheet" sheetId="15" r:id="rId15"/>
    <sheet name="Sensitivity" sheetId="16" r:id="rId1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41" i="16" l="1"/>
  <c r="C40" i="16"/>
  <c r="Q35" i="16"/>
  <c r="P35" i="16"/>
  <c r="O35" i="16"/>
  <c r="N35" i="16"/>
  <c r="M35" i="16"/>
  <c r="L35" i="16"/>
  <c r="K35" i="16"/>
  <c r="J35" i="16"/>
  <c r="I35" i="16"/>
  <c r="H35" i="16"/>
  <c r="G35" i="16"/>
  <c r="F35" i="16"/>
  <c r="E35" i="16"/>
  <c r="D35" i="16"/>
  <c r="C35" i="16"/>
  <c r="C32" i="16"/>
  <c r="C19" i="16"/>
  <c r="C18" i="16"/>
  <c r="Q13" i="16"/>
  <c r="P13" i="16"/>
  <c r="O13" i="16"/>
  <c r="N13" i="16"/>
  <c r="M13" i="16"/>
  <c r="L13" i="16"/>
  <c r="K13" i="16"/>
  <c r="J13" i="16"/>
  <c r="I13" i="16"/>
  <c r="H13" i="16"/>
  <c r="G13" i="16"/>
  <c r="F13" i="16"/>
  <c r="E13" i="16"/>
  <c r="D13" i="16"/>
  <c r="C13" i="16"/>
  <c r="C10" i="16"/>
  <c r="C9" i="16"/>
  <c r="C23" i="15"/>
  <c r="C25" i="15" s="1"/>
  <c r="O7" i="14"/>
  <c r="B22" i="14" s="1"/>
  <c r="C31" i="13"/>
  <c r="C30" i="13"/>
  <c r="C18" i="13"/>
  <c r="C15" i="13"/>
  <c r="Q19" i="12"/>
  <c r="P19" i="12"/>
  <c r="O19" i="12"/>
  <c r="N19" i="12"/>
  <c r="M19" i="12"/>
  <c r="L19" i="12"/>
  <c r="K19" i="12"/>
  <c r="J19" i="12"/>
  <c r="I19" i="12"/>
  <c r="H19" i="12"/>
  <c r="G19" i="12"/>
  <c r="F19" i="12"/>
  <c r="E19" i="12"/>
  <c r="D19" i="12"/>
  <c r="C19" i="12"/>
  <c r="C14" i="12"/>
  <c r="C14" i="13" s="1"/>
  <c r="C11" i="12"/>
  <c r="C7" i="12"/>
  <c r="C6" i="12"/>
  <c r="C8" i="12" s="1"/>
  <c r="C11" i="11"/>
  <c r="C17" i="13" s="1"/>
  <c r="C18" i="10"/>
  <c r="C8" i="9"/>
  <c r="C31" i="16" s="1"/>
  <c r="R6" i="9"/>
  <c r="Q6" i="9"/>
  <c r="P6" i="9"/>
  <c r="O6" i="9"/>
  <c r="N6" i="9"/>
  <c r="M6" i="9"/>
  <c r="L6" i="9"/>
  <c r="K6" i="9"/>
  <c r="J6" i="9"/>
  <c r="I6" i="9"/>
  <c r="H6" i="9"/>
  <c r="G6" i="9"/>
  <c r="F6" i="9"/>
  <c r="E6" i="9"/>
  <c r="D6" i="9"/>
  <c r="C11" i="8"/>
  <c r="C19" i="13" s="1"/>
  <c r="R10" i="8"/>
  <c r="R6" i="8"/>
  <c r="R7" i="8" s="1"/>
  <c r="Q6" i="8"/>
  <c r="Q7" i="8" s="1"/>
  <c r="P6" i="8"/>
  <c r="P7" i="8" s="1"/>
  <c r="O6" i="8"/>
  <c r="O7" i="8" s="1"/>
  <c r="N6" i="8"/>
  <c r="N7" i="8" s="1"/>
  <c r="M6" i="8"/>
  <c r="M7" i="8" s="1"/>
  <c r="L6" i="8"/>
  <c r="L7" i="8" s="1"/>
  <c r="K6" i="8"/>
  <c r="K7" i="8" s="1"/>
  <c r="J6" i="8"/>
  <c r="J7" i="8" s="1"/>
  <c r="I6" i="8"/>
  <c r="I7" i="8" s="1"/>
  <c r="H6" i="8"/>
  <c r="H7" i="8" s="1"/>
  <c r="G6" i="8"/>
  <c r="G7" i="8" s="1"/>
  <c r="F6" i="8"/>
  <c r="F7" i="8" s="1"/>
  <c r="E6" i="8"/>
  <c r="E7" i="8" s="1"/>
  <c r="D6" i="8"/>
  <c r="D7" i="8" s="1"/>
  <c r="C26" i="7"/>
  <c r="C28" i="7" s="1"/>
  <c r="D26" i="7" s="1"/>
  <c r="R17" i="7"/>
  <c r="Q17" i="7"/>
  <c r="P17" i="7"/>
  <c r="O17" i="7"/>
  <c r="N17" i="7"/>
  <c r="M17" i="7"/>
  <c r="L17" i="7"/>
  <c r="K17" i="7"/>
  <c r="J17" i="7"/>
  <c r="I17" i="7"/>
  <c r="H17" i="7"/>
  <c r="G17" i="7"/>
  <c r="F17" i="7"/>
  <c r="E17" i="7"/>
  <c r="D17" i="7"/>
  <c r="C17" i="7"/>
  <c r="D10" i="7"/>
  <c r="C9" i="7"/>
  <c r="C13" i="7" s="1"/>
  <c r="C16" i="7" s="1"/>
  <c r="C18" i="6"/>
  <c r="C17" i="6"/>
  <c r="C16" i="6"/>
  <c r="C15" i="6"/>
  <c r="C14" i="6"/>
  <c r="C13" i="6"/>
  <c r="C12" i="6"/>
  <c r="C11" i="6"/>
  <c r="C14" i="5"/>
  <c r="C9" i="5"/>
  <c r="B71" i="4"/>
  <c r="B70" i="4"/>
  <c r="B69" i="4"/>
  <c r="B68" i="4"/>
  <c r="B62" i="4"/>
  <c r="B60" i="4"/>
  <c r="B58" i="4"/>
  <c r="B57" i="4"/>
  <c r="B50" i="4"/>
  <c r="C36" i="4"/>
  <c r="C35" i="4"/>
  <c r="C34" i="4"/>
  <c r="A22" i="4"/>
  <c r="C8" i="4"/>
  <c r="B8" i="4"/>
  <c r="B5" i="4"/>
  <c r="A3" i="4"/>
  <c r="B28" i="1"/>
  <c r="B26" i="1"/>
  <c r="B22" i="1"/>
  <c r="B14" i="1"/>
  <c r="C11" i="16" l="1"/>
  <c r="C10" i="12"/>
  <c r="C15" i="12"/>
  <c r="C28" i="13"/>
  <c r="C12" i="16"/>
  <c r="C14" i="16" s="1"/>
  <c r="C15" i="16" s="1"/>
  <c r="C18" i="12"/>
  <c r="C34" i="16"/>
  <c r="C33" i="16"/>
  <c r="C36" i="16"/>
  <c r="C37" i="16" s="1"/>
  <c r="D11" i="7"/>
  <c r="D25" i="7" s="1"/>
  <c r="D27" i="7" s="1"/>
  <c r="D28" i="7" s="1"/>
  <c r="C21" i="7"/>
  <c r="D9" i="7"/>
  <c r="B19" i="14"/>
  <c r="C17" i="5"/>
  <c r="D29" i="7" l="1"/>
  <c r="D30" i="7" s="1"/>
  <c r="E26" i="7"/>
  <c r="D12" i="7"/>
  <c r="D13" i="7"/>
  <c r="C20" i="5"/>
  <c r="C25" i="5"/>
  <c r="B61" i="4"/>
  <c r="C19" i="5"/>
  <c r="C24" i="5"/>
  <c r="C34" i="5"/>
  <c r="B59" i="4"/>
  <c r="C16" i="16"/>
  <c r="C17" i="16" s="1"/>
  <c r="C38" i="16"/>
  <c r="C39" i="16" s="1"/>
  <c r="C29" i="13"/>
  <c r="C20" i="12"/>
  <c r="C21" i="12" s="1"/>
  <c r="C23" i="12" s="1"/>
  <c r="C13" i="13" s="1"/>
  <c r="C16" i="13" s="1"/>
  <c r="C23" i="13" s="1"/>
  <c r="D14" i="7" l="1"/>
  <c r="C38" i="5"/>
  <c r="C39" i="5"/>
  <c r="C81" i="5"/>
  <c r="B17" i="4"/>
  <c r="D7" i="9"/>
  <c r="D8" i="9" s="1"/>
  <c r="D7" i="12" s="1"/>
  <c r="E7" i="9"/>
  <c r="E8" i="9" s="1"/>
  <c r="E7" i="12" s="1"/>
  <c r="F7" i="9"/>
  <c r="F8" i="9" s="1"/>
  <c r="F7" i="12" s="1"/>
  <c r="G7" i="9"/>
  <c r="G8" i="9" s="1"/>
  <c r="G7" i="12" s="1"/>
  <c r="H7" i="9"/>
  <c r="H8" i="9" s="1"/>
  <c r="H7" i="12" s="1"/>
  <c r="I7" i="9"/>
  <c r="I8" i="9" s="1"/>
  <c r="I7" i="12" s="1"/>
  <c r="J7" i="9"/>
  <c r="J8" i="9" s="1"/>
  <c r="J7" i="12" s="1"/>
  <c r="K7" i="9"/>
  <c r="K8" i="9" s="1"/>
  <c r="K7" i="12" s="1"/>
  <c r="L7" i="9"/>
  <c r="L8" i="9" s="1"/>
  <c r="L7" i="12" s="1"/>
  <c r="M7" i="9"/>
  <c r="M8" i="9" s="1"/>
  <c r="M7" i="12" s="1"/>
  <c r="N7" i="9"/>
  <c r="N8" i="9" s="1"/>
  <c r="N7" i="12" s="1"/>
  <c r="O7" i="9"/>
  <c r="O8" i="9" s="1"/>
  <c r="O7" i="12" s="1"/>
  <c r="P7" i="9"/>
  <c r="P8" i="9" s="1"/>
  <c r="P7" i="12" s="1"/>
  <c r="Q7" i="9"/>
  <c r="Q8" i="9" s="1"/>
  <c r="Q7" i="12" s="1"/>
  <c r="R7" i="9"/>
  <c r="R8" i="9" s="1"/>
  <c r="R7" i="12" s="1"/>
  <c r="B24" i="1"/>
  <c r="C8" i="13"/>
  <c r="C8" i="14"/>
  <c r="H8" i="14"/>
  <c r="I8" i="14"/>
  <c r="L8" i="14"/>
  <c r="N8" i="14"/>
  <c r="C33" i="13"/>
  <c r="C34" i="13" s="1"/>
  <c r="E8" i="14"/>
  <c r="G8" i="14"/>
  <c r="J8" i="14"/>
  <c r="M8" i="14"/>
  <c r="D8" i="14"/>
  <c r="F8" i="14"/>
  <c r="K8" i="14"/>
  <c r="B47" i="4"/>
  <c r="C7" i="10"/>
  <c r="C10" i="10" s="1"/>
  <c r="D8" i="10" s="1"/>
  <c r="C27" i="5"/>
  <c r="C29" i="5" s="1"/>
  <c r="C26" i="5"/>
  <c r="C28" i="5" s="1"/>
  <c r="C26" i="10" s="1"/>
  <c r="C13" i="10"/>
  <c r="C16" i="10" s="1"/>
  <c r="D14" i="10" s="1"/>
  <c r="B16" i="4"/>
  <c r="D9" i="12"/>
  <c r="E9" i="12"/>
  <c r="F9" i="12"/>
  <c r="G9" i="12"/>
  <c r="H9" i="12"/>
  <c r="I9" i="12"/>
  <c r="J9" i="12"/>
  <c r="K9" i="12"/>
  <c r="L9" i="12"/>
  <c r="M9" i="12"/>
  <c r="N9" i="12"/>
  <c r="O9" i="12"/>
  <c r="P9" i="12"/>
  <c r="Q9" i="12"/>
  <c r="R9" i="12"/>
  <c r="E32" i="13"/>
  <c r="F32" i="13"/>
  <c r="G32" i="13"/>
  <c r="C9" i="15"/>
  <c r="D9" i="15" s="1"/>
  <c r="E9" i="15" s="1"/>
  <c r="F9" i="15" s="1"/>
  <c r="G9" i="15" s="1"/>
  <c r="H9" i="15" s="1"/>
  <c r="I9" i="15" s="1"/>
  <c r="J9" i="15" s="1"/>
  <c r="K9" i="15" s="1"/>
  <c r="L9" i="15" s="1"/>
  <c r="M9" i="15" s="1"/>
  <c r="N9" i="15" s="1"/>
  <c r="O9" i="15" s="1"/>
  <c r="P9" i="15" s="1"/>
  <c r="Q9" i="15" s="1"/>
  <c r="R9" i="15" s="1"/>
  <c r="C15" i="15"/>
  <c r="D15" i="15" s="1"/>
  <c r="E15" i="15" s="1"/>
  <c r="F15" i="15" s="1"/>
  <c r="G15" i="15" s="1"/>
  <c r="H15" i="15" s="1"/>
  <c r="I15" i="15" s="1"/>
  <c r="J15" i="15" s="1"/>
  <c r="K15" i="15" s="1"/>
  <c r="L15" i="15" s="1"/>
  <c r="M15" i="15" s="1"/>
  <c r="N15" i="15" s="1"/>
  <c r="O15" i="15" s="1"/>
  <c r="P15" i="15" s="1"/>
  <c r="Q15" i="15" s="1"/>
  <c r="R15" i="15" s="1"/>
  <c r="E10" i="7" l="1"/>
  <c r="D15" i="7"/>
  <c r="B19" i="4"/>
  <c r="C10" i="11"/>
  <c r="C9" i="13"/>
  <c r="B48" i="4"/>
  <c r="C40" i="5"/>
  <c r="B18" i="4"/>
  <c r="C10" i="13"/>
  <c r="C24" i="13"/>
  <c r="C25" i="13" s="1"/>
  <c r="C16" i="15"/>
  <c r="E16" i="15"/>
  <c r="G16" i="15"/>
  <c r="I16" i="15"/>
  <c r="K16" i="15"/>
  <c r="N16" i="15"/>
  <c r="Q16" i="15"/>
  <c r="D16" i="15"/>
  <c r="F16" i="15"/>
  <c r="H16" i="15"/>
  <c r="J16" i="15"/>
  <c r="L16" i="15"/>
  <c r="M16" i="15"/>
  <c r="O16" i="15"/>
  <c r="P16" i="15"/>
  <c r="R16" i="15"/>
  <c r="C22" i="16"/>
  <c r="C44" i="16"/>
  <c r="B49" i="4"/>
  <c r="C9" i="14"/>
  <c r="D9" i="14" s="1"/>
  <c r="E9" i="14" s="1"/>
  <c r="F9" i="14" s="1"/>
  <c r="G9" i="14" s="1"/>
  <c r="H9" i="14" s="1"/>
  <c r="I9" i="14" s="1"/>
  <c r="J9" i="14" s="1"/>
  <c r="K9" i="14" s="1"/>
  <c r="L9" i="14" s="1"/>
  <c r="M9" i="14" s="1"/>
  <c r="N9" i="14" s="1"/>
  <c r="O9" i="14" s="1"/>
  <c r="C11" i="14"/>
  <c r="C13" i="14"/>
  <c r="O8" i="14"/>
  <c r="H11" i="14"/>
  <c r="H13" i="14"/>
  <c r="I11" i="14"/>
  <c r="I13" i="14"/>
  <c r="L11" i="14"/>
  <c r="L13" i="14"/>
  <c r="N11" i="14"/>
  <c r="N13" i="14"/>
  <c r="C43" i="13"/>
  <c r="E11" i="14"/>
  <c r="E13" i="14"/>
  <c r="G11" i="14"/>
  <c r="G13" i="14"/>
  <c r="J11" i="14"/>
  <c r="J13" i="14"/>
  <c r="M11" i="14"/>
  <c r="M13" i="14"/>
  <c r="D11" i="14"/>
  <c r="D13" i="14"/>
  <c r="F11" i="14"/>
  <c r="F13" i="14"/>
  <c r="K11" i="14"/>
  <c r="K13" i="14"/>
  <c r="C20" i="13"/>
  <c r="C20" i="16"/>
  <c r="C8" i="15"/>
  <c r="C42" i="16"/>
  <c r="C28" i="10"/>
  <c r="D27" i="10"/>
  <c r="D15" i="10"/>
  <c r="D16" i="10"/>
  <c r="E14" i="10" s="1"/>
  <c r="E11" i="7" l="1"/>
  <c r="E25" i="7" s="1"/>
  <c r="E27" i="7" s="1"/>
  <c r="E28" i="7" s="1"/>
  <c r="D16" i="7"/>
  <c r="D18" i="7"/>
  <c r="D6" i="11"/>
  <c r="C14" i="15"/>
  <c r="C18" i="15" s="1"/>
  <c r="C42" i="13"/>
  <c r="C12" i="14"/>
  <c r="O11" i="14"/>
  <c r="C7" i="15"/>
  <c r="C11" i="15" s="1"/>
  <c r="D14" i="12"/>
  <c r="D14" i="13" s="1"/>
  <c r="D10" i="16"/>
  <c r="D32" i="16"/>
  <c r="E15" i="10"/>
  <c r="E16" i="10"/>
  <c r="F14" i="10" s="1"/>
  <c r="C11" i="13"/>
  <c r="O13" i="14"/>
  <c r="E29" i="7" l="1"/>
  <c r="E9" i="7"/>
  <c r="D21" i="7"/>
  <c r="D19" i="7"/>
  <c r="D7" i="10"/>
  <c r="D15" i="13"/>
  <c r="D30" i="13"/>
  <c r="D26" i="10"/>
  <c r="D7" i="11"/>
  <c r="D8" i="11"/>
  <c r="D10" i="11"/>
  <c r="D16" i="14"/>
  <c r="D12" i="14"/>
  <c r="F15" i="10"/>
  <c r="F16" i="10" s="1"/>
  <c r="G14" i="10" s="1"/>
  <c r="C20" i="15"/>
  <c r="E12" i="7" l="1"/>
  <c r="E13" i="7" s="1"/>
  <c r="D31" i="7"/>
  <c r="D32" i="7" s="1"/>
  <c r="D8" i="8"/>
  <c r="D9" i="8" s="1"/>
  <c r="D10" i="10"/>
  <c r="E8" i="10" s="1"/>
  <c r="D9" i="10"/>
  <c r="D18" i="10" s="1"/>
  <c r="D28" i="10"/>
  <c r="E27" i="10"/>
  <c r="D11" i="11"/>
  <c r="D11" i="12"/>
  <c r="E6" i="11"/>
  <c r="D14" i="15"/>
  <c r="E16" i="14"/>
  <c r="E12" i="14"/>
  <c r="G15" i="10"/>
  <c r="G16" i="10" s="1"/>
  <c r="H14" i="10" s="1"/>
  <c r="E30" i="7"/>
  <c r="F26" i="7"/>
  <c r="E14" i="7" l="1"/>
  <c r="D30" i="16"/>
  <c r="D8" i="16"/>
  <c r="D6" i="12"/>
  <c r="D8" i="12" s="1"/>
  <c r="D11" i="8"/>
  <c r="D34" i="16"/>
  <c r="D12" i="16"/>
  <c r="D18" i="12"/>
  <c r="D7" i="15"/>
  <c r="E14" i="12"/>
  <c r="E14" i="13" s="1"/>
  <c r="E32" i="16"/>
  <c r="E10" i="16"/>
  <c r="D17" i="13"/>
  <c r="E8" i="11"/>
  <c r="E7" i="11"/>
  <c r="E9" i="11"/>
  <c r="E22" i="13" s="1"/>
  <c r="E10" i="11"/>
  <c r="F12" i="14"/>
  <c r="F16" i="14"/>
  <c r="H15" i="10"/>
  <c r="H16" i="10"/>
  <c r="I14" i="10" s="1"/>
  <c r="F10" i="7" l="1"/>
  <c r="E15" i="7"/>
  <c r="D41" i="16"/>
  <c r="D43" i="16" s="1"/>
  <c r="D42" i="16" s="1"/>
  <c r="D31" i="16"/>
  <c r="D19" i="16"/>
  <c r="D21" i="16" s="1"/>
  <c r="D20" i="16" s="1"/>
  <c r="D9" i="16"/>
  <c r="D29" i="13"/>
  <c r="D28" i="13"/>
  <c r="D20" i="12"/>
  <c r="D21" i="12" s="1"/>
  <c r="D15" i="12"/>
  <c r="D23" i="12" s="1"/>
  <c r="D10" i="12"/>
  <c r="D23" i="15"/>
  <c r="D19" i="13"/>
  <c r="D21" i="13" s="1"/>
  <c r="E11" i="11"/>
  <c r="E11" i="12"/>
  <c r="F6" i="11"/>
  <c r="E14" i="15"/>
  <c r="G12" i="14"/>
  <c r="G16" i="14"/>
  <c r="I15" i="10"/>
  <c r="I16" i="10"/>
  <c r="J14" i="10" s="1"/>
  <c r="F11" i="7" l="1"/>
  <c r="F25" i="7" s="1"/>
  <c r="F27" i="7" s="1"/>
  <c r="F28" i="7" s="1"/>
  <c r="E16" i="7"/>
  <c r="E18" i="7"/>
  <c r="D33" i="16"/>
  <c r="D36" i="16"/>
  <c r="D37" i="16" s="1"/>
  <c r="D11" i="16"/>
  <c r="D14" i="16"/>
  <c r="D15" i="16" s="1"/>
  <c r="D13" i="13"/>
  <c r="D16" i="13" s="1"/>
  <c r="D24" i="15"/>
  <c r="D8" i="15" s="1"/>
  <c r="D25" i="15"/>
  <c r="D20" i="13"/>
  <c r="D31" i="13"/>
  <c r="D34" i="13" s="1"/>
  <c r="E17" i="13"/>
  <c r="F8" i="11"/>
  <c r="F7" i="11"/>
  <c r="H12" i="14"/>
  <c r="H16" i="14"/>
  <c r="J15" i="10"/>
  <c r="J16" i="10" s="1"/>
  <c r="K14" i="10" s="1"/>
  <c r="F29" i="7" l="1"/>
  <c r="F9" i="7"/>
  <c r="E21" i="7"/>
  <c r="E19" i="7"/>
  <c r="E26" i="10"/>
  <c r="E15" i="13"/>
  <c r="E30" i="13"/>
  <c r="E7" i="10"/>
  <c r="D18" i="13"/>
  <c r="D23" i="13"/>
  <c r="D11" i="15"/>
  <c r="D43" i="13"/>
  <c r="F11" i="11"/>
  <c r="F11" i="12"/>
  <c r="I12" i="14"/>
  <c r="I16" i="14"/>
  <c r="K15" i="10"/>
  <c r="K16" i="10" s="1"/>
  <c r="L14" i="10" s="1"/>
  <c r="D38" i="16"/>
  <c r="D39" i="16" s="1"/>
  <c r="D16" i="16"/>
  <c r="D17" i="16" s="1"/>
  <c r="F9" i="11"/>
  <c r="F12" i="7" l="1"/>
  <c r="F13" i="7"/>
  <c r="E31" i="7"/>
  <c r="E32" i="7" s="1"/>
  <c r="E8" i="8"/>
  <c r="E9" i="8" s="1"/>
  <c r="E28" i="10"/>
  <c r="F27" i="10"/>
  <c r="E9" i="10"/>
  <c r="D25" i="13"/>
  <c r="D26" i="15"/>
  <c r="D17" i="15" s="1"/>
  <c r="F17" i="13"/>
  <c r="J12" i="14"/>
  <c r="J16" i="14"/>
  <c r="L15" i="10"/>
  <c r="L16" i="10" s="1"/>
  <c r="M14" i="10" s="1"/>
  <c r="D44" i="16"/>
  <c r="D40" i="16"/>
  <c r="D22" i="16"/>
  <c r="D18" i="16"/>
  <c r="F30" i="7"/>
  <c r="G26" i="7"/>
  <c r="F22" i="13"/>
  <c r="F10" i="11"/>
  <c r="F14" i="7" l="1"/>
  <c r="E30" i="16"/>
  <c r="E8" i="16"/>
  <c r="E6" i="12"/>
  <c r="E8" i="12" s="1"/>
  <c r="E11" i="8"/>
  <c r="E7" i="15"/>
  <c r="F14" i="12"/>
  <c r="F14" i="13" s="1"/>
  <c r="F10" i="16"/>
  <c r="F32" i="16"/>
  <c r="D42" i="13"/>
  <c r="D18" i="15"/>
  <c r="D20" i="15" s="1"/>
  <c r="K12" i="14"/>
  <c r="K16" i="14"/>
  <c r="M15" i="10"/>
  <c r="M16" i="10"/>
  <c r="N14" i="10" s="1"/>
  <c r="G6" i="11"/>
  <c r="F14" i="15"/>
  <c r="E18" i="10"/>
  <c r="E10" i="10"/>
  <c r="F8" i="10" s="1"/>
  <c r="G10" i="7" l="1"/>
  <c r="F15" i="7"/>
  <c r="E41" i="16"/>
  <c r="E43" i="16" s="1"/>
  <c r="E42" i="16" s="1"/>
  <c r="E31" i="16"/>
  <c r="E19" i="16"/>
  <c r="E21" i="16" s="1"/>
  <c r="E20" i="16" s="1"/>
  <c r="E9" i="16"/>
  <c r="E28" i="13"/>
  <c r="E15" i="12"/>
  <c r="E10" i="12"/>
  <c r="E23" i="15"/>
  <c r="E19" i="13"/>
  <c r="E21" i="13" s="1"/>
  <c r="L12" i="14"/>
  <c r="L16" i="14"/>
  <c r="N15" i="10"/>
  <c r="N16" i="10"/>
  <c r="O14" i="10" s="1"/>
  <c r="G8" i="11"/>
  <c r="G7" i="11"/>
  <c r="G9" i="11"/>
  <c r="E12" i="16"/>
  <c r="E34" i="16"/>
  <c r="E18" i="12"/>
  <c r="G11" i="7" l="1"/>
  <c r="G25" i="7" s="1"/>
  <c r="G27" i="7" s="1"/>
  <c r="G28" i="7" s="1"/>
  <c r="F16" i="7"/>
  <c r="F18" i="7"/>
  <c r="E33" i="16"/>
  <c r="E36" i="16"/>
  <c r="E37" i="16" s="1"/>
  <c r="E14" i="16"/>
  <c r="E15" i="16" s="1"/>
  <c r="E11" i="16"/>
  <c r="E16" i="16" s="1"/>
  <c r="E17" i="16" s="1"/>
  <c r="E24" i="15"/>
  <c r="E8" i="15" s="1"/>
  <c r="E25" i="15"/>
  <c r="E20" i="13"/>
  <c r="E31" i="13"/>
  <c r="M12" i="14"/>
  <c r="M16" i="14"/>
  <c r="O15" i="10"/>
  <c r="O16" i="10" s="1"/>
  <c r="P14" i="10" s="1"/>
  <c r="G11" i="11"/>
  <c r="G11" i="12"/>
  <c r="G22" i="13"/>
  <c r="G10" i="11"/>
  <c r="E29" i="13"/>
  <c r="E34" i="13" s="1"/>
  <c r="E20" i="12"/>
  <c r="E21" i="12" s="1"/>
  <c r="E23" i="12" s="1"/>
  <c r="G29" i="7" l="1"/>
  <c r="G9" i="7"/>
  <c r="F21" i="7"/>
  <c r="F19" i="7"/>
  <c r="F7" i="10"/>
  <c r="F26" i="10"/>
  <c r="F15" i="13"/>
  <c r="F30" i="13"/>
  <c r="E18" i="16"/>
  <c r="E22" i="16"/>
  <c r="E11" i="15"/>
  <c r="N16" i="14"/>
  <c r="O16" i="14" s="1"/>
  <c r="B18" i="14" s="1"/>
  <c r="B20" i="14" s="1"/>
  <c r="N12" i="14"/>
  <c r="O12" i="14" s="1"/>
  <c r="P15" i="10"/>
  <c r="P16" i="10"/>
  <c r="Q14" i="10" s="1"/>
  <c r="G17" i="13"/>
  <c r="G14" i="15"/>
  <c r="H6" i="11"/>
  <c r="E43" i="13"/>
  <c r="E13" i="13"/>
  <c r="E16" i="13" s="1"/>
  <c r="E38" i="16"/>
  <c r="E39" i="16" s="1"/>
  <c r="G12" i="7" l="1"/>
  <c r="G13" i="7" s="1"/>
  <c r="F31" i="7"/>
  <c r="F32" i="7" s="1"/>
  <c r="F8" i="8"/>
  <c r="F9" i="8" s="1"/>
  <c r="F9" i="10"/>
  <c r="F18" i="10" s="1"/>
  <c r="F10" i="10"/>
  <c r="G8" i="10" s="1"/>
  <c r="F28" i="10"/>
  <c r="G27" i="10"/>
  <c r="Q15" i="10"/>
  <c r="Q16" i="10" s="1"/>
  <c r="R14" i="10" s="1"/>
  <c r="H8" i="11"/>
  <c r="H7" i="11"/>
  <c r="H10" i="11"/>
  <c r="E18" i="13"/>
  <c r="E23" i="13"/>
  <c r="E44" i="16"/>
  <c r="E40" i="16"/>
  <c r="G30" i="7"/>
  <c r="H26" i="7"/>
  <c r="G14" i="7" l="1"/>
  <c r="F30" i="16"/>
  <c r="F8" i="16"/>
  <c r="F6" i="12"/>
  <c r="F8" i="12" s="1"/>
  <c r="F11" i="8"/>
  <c r="F34" i="16"/>
  <c r="F12" i="16"/>
  <c r="F18" i="12"/>
  <c r="F7" i="15"/>
  <c r="G32" i="16"/>
  <c r="G10" i="16"/>
  <c r="G14" i="12"/>
  <c r="G14" i="13" s="1"/>
  <c r="R15" i="10"/>
  <c r="R16" i="10" s="1"/>
  <c r="H11" i="11"/>
  <c r="H11" i="12"/>
  <c r="I6" i="11"/>
  <c r="H14" i="15"/>
  <c r="E25" i="13"/>
  <c r="E26" i="15"/>
  <c r="E17" i="15" s="1"/>
  <c r="H10" i="7" l="1"/>
  <c r="G15" i="7"/>
  <c r="F41" i="16"/>
  <c r="F43" i="16" s="1"/>
  <c r="F42" i="16" s="1"/>
  <c r="F31" i="16"/>
  <c r="F9" i="16"/>
  <c r="F19" i="16"/>
  <c r="F21" i="16" s="1"/>
  <c r="F20" i="16" s="1"/>
  <c r="F29" i="13"/>
  <c r="F28" i="13"/>
  <c r="F20" i="12"/>
  <c r="F21" i="12" s="1"/>
  <c r="F15" i="12"/>
  <c r="F23" i="12" s="1"/>
  <c r="F10" i="12"/>
  <c r="F23" i="15"/>
  <c r="F19" i="13"/>
  <c r="F21" i="13" s="1"/>
  <c r="H17" i="13"/>
  <c r="I8" i="11"/>
  <c r="I7" i="11"/>
  <c r="I10" i="11"/>
  <c r="E42" i="13"/>
  <c r="E18" i="15"/>
  <c r="E20" i="15" s="1"/>
  <c r="H11" i="7" l="1"/>
  <c r="H25" i="7" s="1"/>
  <c r="H27" i="7" s="1"/>
  <c r="H28" i="7" s="1"/>
  <c r="G16" i="7"/>
  <c r="G18" i="7"/>
  <c r="F33" i="16"/>
  <c r="F36" i="16"/>
  <c r="F37" i="16" s="1"/>
  <c r="F11" i="16"/>
  <c r="F14" i="16"/>
  <c r="F15" i="16" s="1"/>
  <c r="F24" i="15"/>
  <c r="F20" i="13"/>
  <c r="F31" i="13"/>
  <c r="F34" i="13" s="1"/>
  <c r="I11" i="11"/>
  <c r="I11" i="12"/>
  <c r="J6" i="11"/>
  <c r="I14" i="15"/>
  <c r="F13" i="13"/>
  <c r="F16" i="13" s="1"/>
  <c r="H29" i="7" l="1"/>
  <c r="H9" i="7"/>
  <c r="G21" i="7"/>
  <c r="G19" i="7"/>
  <c r="G7" i="10"/>
  <c r="G15" i="13"/>
  <c r="G30" i="13"/>
  <c r="G26" i="10"/>
  <c r="G28" i="10" s="1"/>
  <c r="I17" i="13"/>
  <c r="J8" i="11"/>
  <c r="J7" i="11"/>
  <c r="J10" i="11"/>
  <c r="F43" i="13"/>
  <c r="F23" i="13"/>
  <c r="F18" i="13"/>
  <c r="F38" i="16"/>
  <c r="F39" i="16" s="1"/>
  <c r="F16" i="16"/>
  <c r="F17" i="16" s="1"/>
  <c r="F8" i="15"/>
  <c r="F25" i="15"/>
  <c r="H12" i="7" l="1"/>
  <c r="H13" i="7"/>
  <c r="G31" i="7"/>
  <c r="G32" i="7" s="1"/>
  <c r="G8" i="8"/>
  <c r="G9" i="8" s="1"/>
  <c r="G9" i="10"/>
  <c r="G7" i="15"/>
  <c r="J11" i="11"/>
  <c r="J11" i="12"/>
  <c r="K6" i="11"/>
  <c r="J14" i="15"/>
  <c r="F25" i="13"/>
  <c r="F26" i="15"/>
  <c r="F17" i="15" s="1"/>
  <c r="F44" i="16"/>
  <c r="F40" i="16"/>
  <c r="F22" i="16"/>
  <c r="F18" i="16"/>
  <c r="F11" i="15"/>
  <c r="H30" i="7"/>
  <c r="I26" i="7"/>
  <c r="H14" i="7" l="1"/>
  <c r="G30" i="16"/>
  <c r="G8" i="16"/>
  <c r="G6" i="12"/>
  <c r="G8" i="12" s="1"/>
  <c r="G11" i="8"/>
  <c r="J17" i="13"/>
  <c r="K8" i="11"/>
  <c r="K10" i="11" s="1"/>
  <c r="K7" i="11"/>
  <c r="F42" i="13"/>
  <c r="F18" i="15"/>
  <c r="F20" i="15" s="1"/>
  <c r="G18" i="10"/>
  <c r="G10" i="10"/>
  <c r="H8" i="10" s="1"/>
  <c r="I10" i="7" l="1"/>
  <c r="H15" i="7"/>
  <c r="G41" i="16"/>
  <c r="G43" i="16" s="1"/>
  <c r="G42" i="16" s="1"/>
  <c r="G31" i="16"/>
  <c r="G19" i="16"/>
  <c r="G21" i="16" s="1"/>
  <c r="G20" i="16" s="1"/>
  <c r="G9" i="16"/>
  <c r="G29" i="13"/>
  <c r="G28" i="13"/>
  <c r="G20" i="12"/>
  <c r="G21" i="12" s="1"/>
  <c r="G15" i="12"/>
  <c r="G10" i="12"/>
  <c r="G23" i="15"/>
  <c r="G19" i="13"/>
  <c r="G21" i="13" s="1"/>
  <c r="K11" i="11"/>
  <c r="K11" i="12"/>
  <c r="L6" i="11"/>
  <c r="K14" i="15"/>
  <c r="G12" i="16"/>
  <c r="G34" i="16"/>
  <c r="G18" i="12"/>
  <c r="I11" i="7" l="1"/>
  <c r="I25" i="7" s="1"/>
  <c r="I27" i="7" s="1"/>
  <c r="I28" i="7" s="1"/>
  <c r="H16" i="7"/>
  <c r="H18" i="7"/>
  <c r="G33" i="16"/>
  <c r="G36" i="16"/>
  <c r="G37" i="16" s="1"/>
  <c r="G11" i="16"/>
  <c r="G16" i="16" s="1"/>
  <c r="G17" i="16" s="1"/>
  <c r="G14" i="16"/>
  <c r="G15" i="16" s="1"/>
  <c r="G24" i="15"/>
  <c r="G8" i="15" s="1"/>
  <c r="G25" i="15"/>
  <c r="G20" i="13"/>
  <c r="G31" i="13"/>
  <c r="G34" i="13" s="1"/>
  <c r="G43" i="13" s="1"/>
  <c r="K17" i="13"/>
  <c r="L8" i="11"/>
  <c r="L7" i="11"/>
  <c r="L10" i="11"/>
  <c r="G23" i="12"/>
  <c r="I29" i="7" l="1"/>
  <c r="I9" i="7"/>
  <c r="H21" i="7"/>
  <c r="H19" i="7"/>
  <c r="H26" i="10"/>
  <c r="H15" i="13"/>
  <c r="H30" i="13"/>
  <c r="H7" i="10"/>
  <c r="G18" i="16"/>
  <c r="G22" i="16"/>
  <c r="G11" i="15"/>
  <c r="L11" i="11"/>
  <c r="L11" i="12"/>
  <c r="M6" i="11"/>
  <c r="L14" i="15"/>
  <c r="G13" i="13"/>
  <c r="G16" i="13" s="1"/>
  <c r="G38" i="16"/>
  <c r="G39" i="16" s="1"/>
  <c r="I12" i="7" l="1"/>
  <c r="I13" i="7" s="1"/>
  <c r="H31" i="7"/>
  <c r="H32" i="7" s="1"/>
  <c r="H8" i="8"/>
  <c r="H9" i="8" s="1"/>
  <c r="H9" i="10"/>
  <c r="H18" i="10" s="1"/>
  <c r="H10" i="10"/>
  <c r="I8" i="10" s="1"/>
  <c r="L17" i="13"/>
  <c r="M8" i="11"/>
  <c r="M10" i="11" s="1"/>
  <c r="M7" i="11"/>
  <c r="G18" i="13"/>
  <c r="G23" i="13"/>
  <c r="G44" i="16"/>
  <c r="G40" i="16"/>
  <c r="I30" i="7"/>
  <c r="J26" i="7"/>
  <c r="I14" i="7" l="1"/>
  <c r="H30" i="16"/>
  <c r="H8" i="16"/>
  <c r="H6" i="12"/>
  <c r="H8" i="12" s="1"/>
  <c r="H11" i="8"/>
  <c r="H34" i="16"/>
  <c r="H12" i="16"/>
  <c r="H18" i="12"/>
  <c r="M11" i="11"/>
  <c r="M11" i="12"/>
  <c r="N6" i="11"/>
  <c r="M14" i="15"/>
  <c r="G25" i="13"/>
  <c r="G42" i="13" s="1"/>
  <c r="G26" i="15"/>
  <c r="G17" i="15" s="1"/>
  <c r="J10" i="7" l="1"/>
  <c r="I15" i="7"/>
  <c r="H41" i="16"/>
  <c r="H43" i="16" s="1"/>
  <c r="H42" i="16" s="1"/>
  <c r="H31" i="16"/>
  <c r="H9" i="16"/>
  <c r="H19" i="16"/>
  <c r="H21" i="16" s="1"/>
  <c r="H20" i="16" s="1"/>
  <c r="H29" i="13"/>
  <c r="H28" i="13"/>
  <c r="H20" i="12"/>
  <c r="H21" i="12" s="1"/>
  <c r="H10" i="12"/>
  <c r="H23" i="15"/>
  <c r="H19" i="13"/>
  <c r="H21" i="13" s="1"/>
  <c r="M17" i="13"/>
  <c r="N8" i="11"/>
  <c r="N10" i="11" s="1"/>
  <c r="N7" i="11"/>
  <c r="G18" i="15"/>
  <c r="G20" i="15" s="1"/>
  <c r="J11" i="7" l="1"/>
  <c r="J25" i="7" s="1"/>
  <c r="J27" i="7" s="1"/>
  <c r="J28" i="7" s="1"/>
  <c r="I16" i="7"/>
  <c r="I18" i="7"/>
  <c r="H36" i="16"/>
  <c r="H37" i="16" s="1"/>
  <c r="H14" i="16"/>
  <c r="H15" i="16" s="1"/>
  <c r="H24" i="15"/>
  <c r="H20" i="13"/>
  <c r="H31" i="13"/>
  <c r="N11" i="11"/>
  <c r="N11" i="12"/>
  <c r="O6" i="11"/>
  <c r="N14" i="15"/>
  <c r="H34" i="13"/>
  <c r="H43" i="13" s="1"/>
  <c r="J29" i="7" l="1"/>
  <c r="J9" i="7"/>
  <c r="I21" i="7"/>
  <c r="I19" i="7"/>
  <c r="I7" i="10"/>
  <c r="I15" i="13"/>
  <c r="I30" i="13"/>
  <c r="I26" i="10"/>
  <c r="N17" i="13"/>
  <c r="O8" i="11"/>
  <c r="O7" i="11"/>
  <c r="O10" i="11"/>
  <c r="H8" i="15"/>
  <c r="H25" i="15"/>
  <c r="J12" i="7" l="1"/>
  <c r="J13" i="7"/>
  <c r="I31" i="7"/>
  <c r="I32" i="7" s="1"/>
  <c r="I8" i="8"/>
  <c r="I9" i="8" s="1"/>
  <c r="I10" i="10"/>
  <c r="J8" i="10" s="1"/>
  <c r="I9" i="10"/>
  <c r="I18" i="10" s="1"/>
  <c r="O11" i="12"/>
  <c r="O11" i="11"/>
  <c r="P6" i="11"/>
  <c r="O14" i="15"/>
  <c r="J30" i="7"/>
  <c r="K26" i="7"/>
  <c r="J14" i="7" l="1"/>
  <c r="I30" i="16"/>
  <c r="I8" i="16"/>
  <c r="I6" i="12"/>
  <c r="I8" i="12" s="1"/>
  <c r="I11" i="8"/>
  <c r="I18" i="12"/>
  <c r="I34" i="16"/>
  <c r="I12" i="16"/>
  <c r="O17" i="13"/>
  <c r="P8" i="11"/>
  <c r="P10" i="11" s="1"/>
  <c r="P7" i="11"/>
  <c r="K10" i="7" l="1"/>
  <c r="J15" i="7"/>
  <c r="I41" i="16"/>
  <c r="I43" i="16" s="1"/>
  <c r="I42" i="16" s="1"/>
  <c r="I31" i="16"/>
  <c r="I19" i="16"/>
  <c r="I21" i="16" s="1"/>
  <c r="I20" i="16" s="1"/>
  <c r="I9" i="16"/>
  <c r="I29" i="13"/>
  <c r="I28" i="13"/>
  <c r="I20" i="12"/>
  <c r="I21" i="12" s="1"/>
  <c r="I10" i="12"/>
  <c r="I23" i="15"/>
  <c r="I19" i="13"/>
  <c r="I21" i="13" s="1"/>
  <c r="P11" i="12"/>
  <c r="P11" i="11"/>
  <c r="Q6" i="11"/>
  <c r="P14" i="15"/>
  <c r="K11" i="7" l="1"/>
  <c r="K25" i="7" s="1"/>
  <c r="K27" i="7" s="1"/>
  <c r="K28" i="7" s="1"/>
  <c r="J16" i="7"/>
  <c r="J18" i="7"/>
  <c r="I36" i="16"/>
  <c r="I37" i="16" s="1"/>
  <c r="I14" i="16"/>
  <c r="I15" i="16" s="1"/>
  <c r="I24" i="15"/>
  <c r="I8" i="15" s="1"/>
  <c r="I25" i="15"/>
  <c r="I20" i="13"/>
  <c r="I31" i="13"/>
  <c r="P17" i="13"/>
  <c r="Q8" i="11"/>
  <c r="Q10" i="11" s="1"/>
  <c r="Q7" i="11"/>
  <c r="I34" i="13"/>
  <c r="I43" i="13" s="1"/>
  <c r="K29" i="7" l="1"/>
  <c r="K9" i="7"/>
  <c r="J21" i="7"/>
  <c r="J19" i="7"/>
  <c r="J26" i="10"/>
  <c r="J15" i="13"/>
  <c r="J30" i="13"/>
  <c r="J7" i="10"/>
  <c r="Q11" i="11"/>
  <c r="Q11" i="12"/>
  <c r="R6" i="11"/>
  <c r="Q14" i="15"/>
  <c r="K12" i="7" l="1"/>
  <c r="K13" i="7"/>
  <c r="J31" i="7"/>
  <c r="J32" i="7" s="1"/>
  <c r="J8" i="8"/>
  <c r="J9" i="8" s="1"/>
  <c r="J9" i="10"/>
  <c r="Q17" i="13"/>
  <c r="R8" i="11"/>
  <c r="R10" i="11" s="1"/>
  <c r="R14" i="15" s="1"/>
  <c r="R7" i="11"/>
  <c r="K30" i="7"/>
  <c r="L26" i="7"/>
  <c r="K14" i="7" l="1"/>
  <c r="J30" i="16"/>
  <c r="J8" i="16"/>
  <c r="J6" i="12"/>
  <c r="J8" i="12" s="1"/>
  <c r="J11" i="8"/>
  <c r="R11" i="12"/>
  <c r="R11" i="11"/>
  <c r="J18" i="10"/>
  <c r="J10" i="10"/>
  <c r="K8" i="10" s="1"/>
  <c r="L10" i="7" l="1"/>
  <c r="K15" i="7"/>
  <c r="J41" i="16"/>
  <c r="J43" i="16" s="1"/>
  <c r="J42" i="16" s="1"/>
  <c r="J31" i="16"/>
  <c r="J9" i="16"/>
  <c r="J19" i="16"/>
  <c r="J21" i="16" s="1"/>
  <c r="J20" i="16" s="1"/>
  <c r="J28" i="13"/>
  <c r="J10" i="12"/>
  <c r="J23" i="15"/>
  <c r="J19" i="13"/>
  <c r="J21" i="13" s="1"/>
  <c r="R17" i="13"/>
  <c r="R18" i="13" s="1"/>
  <c r="R18" i="16"/>
  <c r="R40" i="16"/>
  <c r="J12" i="16"/>
  <c r="J34" i="16"/>
  <c r="J18" i="12"/>
  <c r="L11" i="7" l="1"/>
  <c r="L25" i="7" s="1"/>
  <c r="L27" i="7" s="1"/>
  <c r="L28" i="7" s="1"/>
  <c r="K16" i="7"/>
  <c r="K18" i="7"/>
  <c r="J36" i="16"/>
  <c r="J37" i="16" s="1"/>
  <c r="J14" i="16"/>
  <c r="J15" i="16" s="1"/>
  <c r="J24" i="15"/>
  <c r="J20" i="13"/>
  <c r="J31" i="13"/>
  <c r="J29" i="13"/>
  <c r="J34" i="13" s="1"/>
  <c r="J43" i="13" s="1"/>
  <c r="J20" i="12"/>
  <c r="J21" i="12" s="1"/>
  <c r="L29" i="7" l="1"/>
  <c r="L9" i="7"/>
  <c r="K21" i="7"/>
  <c r="K19" i="7"/>
  <c r="K7" i="10"/>
  <c r="K26" i="10"/>
  <c r="K15" i="13"/>
  <c r="K30" i="13"/>
  <c r="J8" i="15"/>
  <c r="J25" i="15"/>
  <c r="L12" i="7" l="1"/>
  <c r="L13" i="7" s="1"/>
  <c r="K31" i="7"/>
  <c r="K32" i="7" s="1"/>
  <c r="K8" i="8"/>
  <c r="K9" i="8" s="1"/>
  <c r="K9" i="10"/>
  <c r="K18" i="10" s="1"/>
  <c r="K10" i="10"/>
  <c r="L8" i="10" s="1"/>
  <c r="L30" i="7"/>
  <c r="M26" i="7"/>
  <c r="L14" i="7" l="1"/>
  <c r="K30" i="16"/>
  <c r="K8" i="16"/>
  <c r="K6" i="12"/>
  <c r="K8" i="12" s="1"/>
  <c r="K11" i="8"/>
  <c r="K34" i="16"/>
  <c r="K12" i="16"/>
  <c r="K18" i="12"/>
  <c r="M10" i="7" l="1"/>
  <c r="L15" i="7"/>
  <c r="K41" i="16"/>
  <c r="K43" i="16" s="1"/>
  <c r="K42" i="16" s="1"/>
  <c r="K31" i="16"/>
  <c r="K19" i="16"/>
  <c r="K21" i="16" s="1"/>
  <c r="K20" i="16" s="1"/>
  <c r="K9" i="16"/>
  <c r="K29" i="13"/>
  <c r="K28" i="13"/>
  <c r="K20" i="12"/>
  <c r="K21" i="12" s="1"/>
  <c r="K10" i="12"/>
  <c r="K23" i="15"/>
  <c r="K19" i="13"/>
  <c r="K21" i="13" s="1"/>
  <c r="M11" i="7" l="1"/>
  <c r="M25" i="7" s="1"/>
  <c r="M27" i="7" s="1"/>
  <c r="M28" i="7" s="1"/>
  <c r="L16" i="7"/>
  <c r="L18" i="7"/>
  <c r="K36" i="16"/>
  <c r="K37" i="16" s="1"/>
  <c r="K14" i="16"/>
  <c r="K15" i="16" s="1"/>
  <c r="K24" i="15"/>
  <c r="K8" i="15" s="1"/>
  <c r="K25" i="15"/>
  <c r="K20" i="13"/>
  <c r="K31" i="13"/>
  <c r="K34" i="13"/>
  <c r="K43" i="13" s="1"/>
  <c r="M29" i="7" l="1"/>
  <c r="M9" i="7"/>
  <c r="L21" i="7"/>
  <c r="L19" i="7"/>
  <c r="L7" i="10"/>
  <c r="L15" i="13"/>
  <c r="L30" i="13"/>
  <c r="L26" i="10"/>
  <c r="M12" i="7" l="1"/>
  <c r="M13" i="7" s="1"/>
  <c r="L31" i="7"/>
  <c r="L32" i="7" s="1"/>
  <c r="L8" i="8"/>
  <c r="L9" i="8" s="1"/>
  <c r="L10" i="10"/>
  <c r="M8" i="10" s="1"/>
  <c r="L9" i="10"/>
  <c r="L18" i="10" s="1"/>
  <c r="M30" i="7"/>
  <c r="N26" i="7"/>
  <c r="M14" i="7" l="1"/>
  <c r="L30" i="16"/>
  <c r="L8" i="16"/>
  <c r="L6" i="12"/>
  <c r="L8" i="12" s="1"/>
  <c r="L11" i="8"/>
  <c r="L34" i="16"/>
  <c r="L12" i="16"/>
  <c r="L18" i="12"/>
  <c r="N10" i="7" l="1"/>
  <c r="M15" i="7"/>
  <c r="L41" i="16"/>
  <c r="L43" i="16" s="1"/>
  <c r="L42" i="16" s="1"/>
  <c r="L31" i="16"/>
  <c r="L9" i="16"/>
  <c r="L19" i="16"/>
  <c r="L21" i="16" s="1"/>
  <c r="L20" i="16" s="1"/>
  <c r="L29" i="13"/>
  <c r="L28" i="13"/>
  <c r="L20" i="12"/>
  <c r="L21" i="12" s="1"/>
  <c r="L10" i="12"/>
  <c r="L23" i="15"/>
  <c r="L19" i="13"/>
  <c r="L21" i="13" s="1"/>
  <c r="N11" i="7" l="1"/>
  <c r="N25" i="7" s="1"/>
  <c r="N27" i="7" s="1"/>
  <c r="N28" i="7" s="1"/>
  <c r="M16" i="7"/>
  <c r="M18" i="7"/>
  <c r="L36" i="16"/>
  <c r="L37" i="16" s="1"/>
  <c r="L14" i="16"/>
  <c r="L15" i="16" s="1"/>
  <c r="L24" i="15"/>
  <c r="L20" i="13"/>
  <c r="L31" i="13"/>
  <c r="L34" i="13" s="1"/>
  <c r="L43" i="13" s="1"/>
  <c r="N29" i="7" l="1"/>
  <c r="N9" i="7"/>
  <c r="M21" i="7"/>
  <c r="M19" i="7"/>
  <c r="M26" i="10"/>
  <c r="M15" i="13"/>
  <c r="M30" i="13"/>
  <c r="M7" i="10"/>
  <c r="L8" i="15"/>
  <c r="L25" i="15"/>
  <c r="N12" i="7" l="1"/>
  <c r="N13" i="7" s="1"/>
  <c r="M31" i="7"/>
  <c r="M32" i="7" s="1"/>
  <c r="M8" i="8"/>
  <c r="M9" i="8" s="1"/>
  <c r="M10" i="10"/>
  <c r="N8" i="10" s="1"/>
  <c r="M9" i="10"/>
  <c r="M18" i="10" s="1"/>
  <c r="N30" i="7"/>
  <c r="O26" i="7"/>
  <c r="N14" i="7" l="1"/>
  <c r="M30" i="16"/>
  <c r="M8" i="16"/>
  <c r="M6" i="12"/>
  <c r="M8" i="12" s="1"/>
  <c r="M11" i="8"/>
  <c r="M34" i="16"/>
  <c r="M12" i="16"/>
  <c r="M18" i="12"/>
  <c r="O10" i="7" l="1"/>
  <c r="N15" i="7"/>
  <c r="M41" i="16"/>
  <c r="M43" i="16" s="1"/>
  <c r="M42" i="16" s="1"/>
  <c r="M31" i="16"/>
  <c r="M19" i="16"/>
  <c r="M21" i="16" s="1"/>
  <c r="M20" i="16" s="1"/>
  <c r="M9" i="16"/>
  <c r="M29" i="13"/>
  <c r="M28" i="13"/>
  <c r="M20" i="12"/>
  <c r="M21" i="12" s="1"/>
  <c r="M10" i="12"/>
  <c r="M23" i="15"/>
  <c r="M19" i="13"/>
  <c r="M21" i="13" s="1"/>
  <c r="O11" i="7" l="1"/>
  <c r="O25" i="7" s="1"/>
  <c r="O27" i="7" s="1"/>
  <c r="O28" i="7" s="1"/>
  <c r="N16" i="7"/>
  <c r="N18" i="7"/>
  <c r="M36" i="16"/>
  <c r="M37" i="16" s="1"/>
  <c r="M14" i="16"/>
  <c r="M15" i="16" s="1"/>
  <c r="M24" i="15"/>
  <c r="M20" i="13"/>
  <c r="M31" i="13"/>
  <c r="M34" i="13" s="1"/>
  <c r="M43" i="13" s="1"/>
  <c r="O29" i="7" l="1"/>
  <c r="O9" i="7"/>
  <c r="N21" i="7"/>
  <c r="N19" i="7"/>
  <c r="N7" i="10"/>
  <c r="N15" i="13"/>
  <c r="N30" i="13"/>
  <c r="N26" i="10"/>
  <c r="M8" i="15"/>
  <c r="M25" i="15"/>
  <c r="O12" i="7" l="1"/>
  <c r="O13" i="7" s="1"/>
  <c r="N31" i="7"/>
  <c r="N32" i="7" s="1"/>
  <c r="N8" i="8"/>
  <c r="N9" i="8" s="1"/>
  <c r="N9" i="10"/>
  <c r="N18" i="10" s="1"/>
  <c r="N10" i="10"/>
  <c r="O8" i="10" s="1"/>
  <c r="O30" i="7"/>
  <c r="P26" i="7"/>
  <c r="O14" i="7" l="1"/>
  <c r="N30" i="16"/>
  <c r="N8" i="16"/>
  <c r="N6" i="12"/>
  <c r="N8" i="12" s="1"/>
  <c r="N11" i="8"/>
  <c r="N18" i="12"/>
  <c r="N34" i="16"/>
  <c r="N12" i="16"/>
  <c r="P10" i="7" l="1"/>
  <c r="O15" i="7"/>
  <c r="N41" i="16"/>
  <c r="N43" i="16" s="1"/>
  <c r="N42" i="16" s="1"/>
  <c r="N31" i="16"/>
  <c r="N19" i="16"/>
  <c r="N21" i="16" s="1"/>
  <c r="N20" i="16" s="1"/>
  <c r="N9" i="16"/>
  <c r="N29" i="13"/>
  <c r="N28" i="13"/>
  <c r="N20" i="12"/>
  <c r="N21" i="12" s="1"/>
  <c r="N10" i="12"/>
  <c r="N23" i="15"/>
  <c r="N19" i="13"/>
  <c r="N21" i="13" s="1"/>
  <c r="P11" i="7" l="1"/>
  <c r="P25" i="7" s="1"/>
  <c r="P27" i="7" s="1"/>
  <c r="P28" i="7" s="1"/>
  <c r="O16" i="7"/>
  <c r="O18" i="7"/>
  <c r="N36" i="16"/>
  <c r="N37" i="16" s="1"/>
  <c r="N14" i="16"/>
  <c r="N15" i="16" s="1"/>
  <c r="N24" i="15"/>
  <c r="N8" i="15" s="1"/>
  <c r="N25" i="15"/>
  <c r="N20" i="13"/>
  <c r="N31" i="13"/>
  <c r="N34" i="13"/>
  <c r="N43" i="13" s="1"/>
  <c r="P29" i="7" l="1"/>
  <c r="P9" i="7"/>
  <c r="O21" i="7"/>
  <c r="O19" i="7"/>
  <c r="O26" i="10"/>
  <c r="O15" i="13"/>
  <c r="O30" i="13"/>
  <c r="O7" i="10"/>
  <c r="P12" i="7" l="1"/>
  <c r="P13" i="7"/>
  <c r="O31" i="7"/>
  <c r="O32" i="7" s="1"/>
  <c r="O8" i="8"/>
  <c r="O9" i="8" s="1"/>
  <c r="O9" i="10"/>
  <c r="P30" i="7"/>
  <c r="Q26" i="7"/>
  <c r="P14" i="7" l="1"/>
  <c r="O30" i="16"/>
  <c r="O8" i="16"/>
  <c r="O6" i="12"/>
  <c r="O8" i="12" s="1"/>
  <c r="O11" i="8"/>
  <c r="O18" i="10"/>
  <c r="O10" i="10"/>
  <c r="P8" i="10" s="1"/>
  <c r="Q10" i="7" l="1"/>
  <c r="P15" i="7"/>
  <c r="O41" i="16"/>
  <c r="O43" i="16" s="1"/>
  <c r="O42" i="16" s="1"/>
  <c r="O31" i="16"/>
  <c r="O19" i="16"/>
  <c r="O21" i="16" s="1"/>
  <c r="O20" i="16" s="1"/>
  <c r="O9" i="16"/>
  <c r="O29" i="13"/>
  <c r="O28" i="13"/>
  <c r="O20" i="12"/>
  <c r="O21" i="12" s="1"/>
  <c r="O10" i="12"/>
  <c r="O23" i="15"/>
  <c r="O19" i="13"/>
  <c r="O21" i="13" s="1"/>
  <c r="O12" i="16"/>
  <c r="O34" i="16"/>
  <c r="O18" i="12"/>
  <c r="Q11" i="7" l="1"/>
  <c r="Q25" i="7" s="1"/>
  <c r="Q27" i="7" s="1"/>
  <c r="Q28" i="7" s="1"/>
  <c r="P16" i="7"/>
  <c r="P18" i="7"/>
  <c r="O36" i="16"/>
  <c r="O37" i="16" s="1"/>
  <c r="O14" i="16"/>
  <c r="O15" i="16" s="1"/>
  <c r="O24" i="15"/>
  <c r="O20" i="13"/>
  <c r="O31" i="13"/>
  <c r="O34" i="13"/>
  <c r="O43" i="13" s="1"/>
  <c r="Q29" i="7" l="1"/>
  <c r="Q9" i="7"/>
  <c r="P21" i="7"/>
  <c r="P19" i="7"/>
  <c r="P7" i="10"/>
  <c r="P26" i="10"/>
  <c r="P15" i="13"/>
  <c r="P30" i="13"/>
  <c r="O8" i="15"/>
  <c r="O25" i="15"/>
  <c r="Q12" i="7" l="1"/>
  <c r="Q13" i="7"/>
  <c r="P31" i="7"/>
  <c r="P32" i="7" s="1"/>
  <c r="P8" i="8"/>
  <c r="P9" i="8" s="1"/>
  <c r="P9" i="10"/>
  <c r="P18" i="10" s="1"/>
  <c r="P10" i="10"/>
  <c r="Q8" i="10" s="1"/>
  <c r="Q30" i="7"/>
  <c r="R26" i="7"/>
  <c r="Q14" i="7" l="1"/>
  <c r="P6" i="12"/>
  <c r="P8" i="12" s="1"/>
  <c r="P30" i="16"/>
  <c r="P8" i="16"/>
  <c r="P11" i="8"/>
  <c r="P34" i="16"/>
  <c r="P12" i="16"/>
  <c r="P18" i="12"/>
  <c r="R10" i="7" l="1"/>
  <c r="R11" i="7" s="1"/>
  <c r="R25" i="7" s="1"/>
  <c r="R27" i="7" s="1"/>
  <c r="R28" i="7" s="1"/>
  <c r="R29" i="7" s="1"/>
  <c r="R30" i="7" s="1"/>
  <c r="Q15" i="7"/>
  <c r="P29" i="13"/>
  <c r="P28" i="13"/>
  <c r="P20" i="12"/>
  <c r="P21" i="12" s="1"/>
  <c r="P10" i="12"/>
  <c r="P41" i="16"/>
  <c r="P43" i="16" s="1"/>
  <c r="P42" i="16" s="1"/>
  <c r="P31" i="16"/>
  <c r="P9" i="16"/>
  <c r="P19" i="16"/>
  <c r="P21" i="16" s="1"/>
  <c r="P20" i="16" s="1"/>
  <c r="P23" i="15"/>
  <c r="P19" i="13"/>
  <c r="P21" i="13" s="1"/>
  <c r="Q16" i="7" l="1"/>
  <c r="Q18" i="7"/>
  <c r="P36" i="16"/>
  <c r="P37" i="16" s="1"/>
  <c r="P14" i="16"/>
  <c r="P15" i="16" s="1"/>
  <c r="P24" i="15"/>
  <c r="P8" i="15" s="1"/>
  <c r="P25" i="15"/>
  <c r="P20" i="13"/>
  <c r="P31" i="13"/>
  <c r="P34" i="13" s="1"/>
  <c r="P43" i="13" s="1"/>
  <c r="R9" i="7" l="1"/>
  <c r="Q21" i="7"/>
  <c r="Q19" i="7"/>
  <c r="Q7" i="10"/>
  <c r="Q15" i="13"/>
  <c r="Q26" i="10"/>
  <c r="Q30" i="13"/>
  <c r="R12" i="7" l="1"/>
  <c r="R13" i="7"/>
  <c r="Q31" i="7"/>
  <c r="Q32" i="7" s="1"/>
  <c r="Q8" i="8"/>
  <c r="Q9" i="8" s="1"/>
  <c r="Q9" i="10"/>
  <c r="R14" i="7" l="1"/>
  <c r="Q8" i="16"/>
  <c r="Q11" i="8"/>
  <c r="Q30" i="16"/>
  <c r="Q6" i="12"/>
  <c r="Q8" i="12" s="1"/>
  <c r="Q18" i="10"/>
  <c r="Q10" i="10"/>
  <c r="R8" i="10" s="1"/>
  <c r="B51" i="4" l="1"/>
  <c r="R15" i="7"/>
  <c r="Q19" i="16"/>
  <c r="Q21" i="16" s="1"/>
  <c r="Q20" i="16" s="1"/>
  <c r="Q9" i="16"/>
  <c r="Q23" i="15"/>
  <c r="Q19" i="13"/>
  <c r="Q21" i="13" s="1"/>
  <c r="Q41" i="16"/>
  <c r="Q43" i="16" s="1"/>
  <c r="Q42" i="16" s="1"/>
  <c r="Q31" i="16"/>
  <c r="Q29" i="13"/>
  <c r="Q28" i="13"/>
  <c r="Q20" i="12"/>
  <c r="Q21" i="12" s="1"/>
  <c r="Q10" i="12"/>
  <c r="Q18" i="12"/>
  <c r="Q12" i="16"/>
  <c r="Q34" i="16"/>
  <c r="R16" i="7" l="1"/>
  <c r="R21" i="7" s="1"/>
  <c r="R18" i="7"/>
  <c r="Q14" i="16"/>
  <c r="Q15" i="16" s="1"/>
  <c r="Q24" i="15"/>
  <c r="Q8" i="15" s="1"/>
  <c r="Q25" i="15"/>
  <c r="Q20" i="13"/>
  <c r="Q31" i="13"/>
  <c r="Q34" i="13" s="1"/>
  <c r="Q43" i="13" s="1"/>
  <c r="Q36" i="16"/>
  <c r="Q37" i="16" s="1"/>
  <c r="R8" i="8" l="1"/>
  <c r="R9" i="8" s="1"/>
  <c r="R31" i="7"/>
  <c r="R32" i="7" s="1"/>
  <c r="R19" i="7"/>
  <c r="B52" i="4" s="1"/>
  <c r="R26" i="10"/>
  <c r="R15" i="13"/>
  <c r="R7" i="10"/>
  <c r="R30" i="13"/>
  <c r="R11" i="8" l="1"/>
  <c r="R30" i="16"/>
  <c r="R6" i="12"/>
  <c r="R8" i="12" s="1"/>
  <c r="R8" i="16"/>
  <c r="C34" i="7"/>
  <c r="B24" i="4" s="1"/>
  <c r="C33" i="7"/>
  <c r="B23" i="4" s="1"/>
  <c r="J27" i="10"/>
  <c r="L27" i="10"/>
  <c r="K27" i="10"/>
  <c r="N27" i="10"/>
  <c r="I27" i="10"/>
  <c r="R27" i="10"/>
  <c r="M27" i="10"/>
  <c r="O27" i="10"/>
  <c r="Q27" i="10"/>
  <c r="H27" i="10"/>
  <c r="P27" i="10"/>
  <c r="R9" i="10"/>
  <c r="R23" i="15" l="1"/>
  <c r="R19" i="13"/>
  <c r="R21" i="13" s="1"/>
  <c r="R41" i="16"/>
  <c r="R43" i="16" s="1"/>
  <c r="R42" i="16" s="1"/>
  <c r="R31" i="16"/>
  <c r="R28" i="13"/>
  <c r="R10" i="12"/>
  <c r="R19" i="16"/>
  <c r="R21" i="16" s="1"/>
  <c r="R20" i="16" s="1"/>
  <c r="R9" i="16"/>
  <c r="J10" i="16"/>
  <c r="J11" i="16" s="1"/>
  <c r="J16" i="16" s="1"/>
  <c r="J17" i="16" s="1"/>
  <c r="J32" i="16"/>
  <c r="J33" i="16" s="1"/>
  <c r="J38" i="16" s="1"/>
  <c r="J39" i="16" s="1"/>
  <c r="J14" i="12"/>
  <c r="L14" i="12"/>
  <c r="L10" i="16"/>
  <c r="L11" i="16" s="1"/>
  <c r="L16" i="16" s="1"/>
  <c r="L17" i="16" s="1"/>
  <c r="L32" i="16"/>
  <c r="L33" i="16" s="1"/>
  <c r="L38" i="16" s="1"/>
  <c r="L39" i="16" s="1"/>
  <c r="K14" i="12"/>
  <c r="K10" i="16"/>
  <c r="K11" i="16" s="1"/>
  <c r="K16" i="16" s="1"/>
  <c r="K17" i="16" s="1"/>
  <c r="K32" i="16"/>
  <c r="K33" i="16" s="1"/>
  <c r="K38" i="16" s="1"/>
  <c r="K39" i="16" s="1"/>
  <c r="N14" i="12"/>
  <c r="N10" i="16"/>
  <c r="N11" i="16" s="1"/>
  <c r="N16" i="16" s="1"/>
  <c r="N17" i="16" s="1"/>
  <c r="N32" i="16"/>
  <c r="N33" i="16" s="1"/>
  <c r="N38" i="16" s="1"/>
  <c r="N39" i="16" s="1"/>
  <c r="I14" i="12"/>
  <c r="I10" i="16"/>
  <c r="I11" i="16" s="1"/>
  <c r="I16" i="16" s="1"/>
  <c r="I17" i="16" s="1"/>
  <c r="I32" i="16"/>
  <c r="I33" i="16" s="1"/>
  <c r="I38" i="16" s="1"/>
  <c r="I39" i="16" s="1"/>
  <c r="R14" i="12"/>
  <c r="R10" i="16"/>
  <c r="R32" i="16"/>
  <c r="M14" i="12"/>
  <c r="M10" i="16"/>
  <c r="M11" i="16" s="1"/>
  <c r="M16" i="16" s="1"/>
  <c r="M17" i="16" s="1"/>
  <c r="M32" i="16"/>
  <c r="M33" i="16" s="1"/>
  <c r="M38" i="16" s="1"/>
  <c r="M39" i="16" s="1"/>
  <c r="O14" i="12"/>
  <c r="O10" i="16"/>
  <c r="O11" i="16" s="1"/>
  <c r="O16" i="16" s="1"/>
  <c r="O17" i="16" s="1"/>
  <c r="O32" i="16"/>
  <c r="O33" i="16" s="1"/>
  <c r="O38" i="16" s="1"/>
  <c r="O39" i="16" s="1"/>
  <c r="Q14" i="12"/>
  <c r="Q10" i="16"/>
  <c r="Q11" i="16" s="1"/>
  <c r="Q16" i="16" s="1"/>
  <c r="Q17" i="16" s="1"/>
  <c r="Q32" i="16"/>
  <c r="Q33" i="16" s="1"/>
  <c r="Q38" i="16" s="1"/>
  <c r="Q39" i="16" s="1"/>
  <c r="H28" i="10"/>
  <c r="H10" i="16"/>
  <c r="H11" i="16" s="1"/>
  <c r="H16" i="16" s="1"/>
  <c r="H17" i="16" s="1"/>
  <c r="H32" i="16"/>
  <c r="H33" i="16" s="1"/>
  <c r="H38" i="16" s="1"/>
  <c r="H39" i="16" s="1"/>
  <c r="H14" i="12"/>
  <c r="P14" i="12"/>
  <c r="P10" i="16"/>
  <c r="P11" i="16" s="1"/>
  <c r="P16" i="16" s="1"/>
  <c r="P17" i="16" s="1"/>
  <c r="P32" i="16"/>
  <c r="P33" i="16" s="1"/>
  <c r="P38" i="16" s="1"/>
  <c r="P39" i="16" s="1"/>
  <c r="R18" i="10"/>
  <c r="R10" i="10"/>
  <c r="R24" i="15" l="1"/>
  <c r="R20" i="13"/>
  <c r="R31" i="13"/>
  <c r="R33" i="16"/>
  <c r="R11" i="16"/>
  <c r="J22" i="16"/>
  <c r="J18" i="16"/>
  <c r="J44" i="16"/>
  <c r="J40" i="16"/>
  <c r="J15" i="12"/>
  <c r="J23" i="12" s="1"/>
  <c r="J13" i="13" s="1"/>
  <c r="J14" i="13"/>
  <c r="L15" i="12"/>
  <c r="L23" i="12" s="1"/>
  <c r="L13" i="13" s="1"/>
  <c r="L16" i="13" s="1"/>
  <c r="L14" i="13"/>
  <c r="L22" i="16"/>
  <c r="L18" i="16"/>
  <c r="L44" i="16"/>
  <c r="L40" i="16"/>
  <c r="K15" i="12"/>
  <c r="K23" i="12" s="1"/>
  <c r="K13" i="13" s="1"/>
  <c r="K14" i="13"/>
  <c r="K22" i="16"/>
  <c r="K18" i="16"/>
  <c r="K44" i="16"/>
  <c r="K40" i="16"/>
  <c r="N15" i="12"/>
  <c r="N23" i="12" s="1"/>
  <c r="N13" i="13" s="1"/>
  <c r="N14" i="13"/>
  <c r="N22" i="16"/>
  <c r="N18" i="16"/>
  <c r="N44" i="16"/>
  <c r="N40" i="16"/>
  <c r="I15" i="12"/>
  <c r="I23" i="12" s="1"/>
  <c r="I13" i="13" s="1"/>
  <c r="I16" i="13" s="1"/>
  <c r="I14" i="13"/>
  <c r="I22" i="16"/>
  <c r="I18" i="16"/>
  <c r="I44" i="16"/>
  <c r="I40" i="16"/>
  <c r="M15" i="12"/>
  <c r="M23" i="12" s="1"/>
  <c r="M13" i="13" s="1"/>
  <c r="M16" i="13" s="1"/>
  <c r="M14" i="13"/>
  <c r="M22" i="16"/>
  <c r="M18" i="16"/>
  <c r="M44" i="16"/>
  <c r="M40" i="16"/>
  <c r="O15" i="12"/>
  <c r="O23" i="12" s="1"/>
  <c r="O13" i="13" s="1"/>
  <c r="O16" i="13" s="1"/>
  <c r="O14" i="13"/>
  <c r="O22" i="16"/>
  <c r="O18" i="16"/>
  <c r="O44" i="16"/>
  <c r="O40" i="16"/>
  <c r="Q15" i="12"/>
  <c r="Q23" i="12" s="1"/>
  <c r="Q13" i="13" s="1"/>
  <c r="Q16" i="13" s="1"/>
  <c r="Q14" i="13"/>
  <c r="Q22" i="16"/>
  <c r="Q18" i="16"/>
  <c r="Q44" i="16"/>
  <c r="Q40" i="16"/>
  <c r="I28" i="10"/>
  <c r="H7" i="15"/>
  <c r="H11" i="15" s="1"/>
  <c r="H22" i="16"/>
  <c r="H18" i="16"/>
  <c r="H44" i="16"/>
  <c r="H40" i="16"/>
  <c r="H15" i="12"/>
  <c r="H23" i="12" s="1"/>
  <c r="H14" i="13"/>
  <c r="P15" i="12"/>
  <c r="P23" i="12" s="1"/>
  <c r="P13" i="13" s="1"/>
  <c r="P14" i="13"/>
  <c r="P22" i="16"/>
  <c r="P18" i="16"/>
  <c r="P44" i="16"/>
  <c r="P40" i="16"/>
  <c r="R18" i="12"/>
  <c r="R12" i="16"/>
  <c r="R34" i="16"/>
  <c r="R23" i="10"/>
  <c r="R22" i="10"/>
  <c r="R14" i="13"/>
  <c r="R15" i="12"/>
  <c r="P16" i="13" l="1"/>
  <c r="L23" i="13"/>
  <c r="L18" i="13"/>
  <c r="I23" i="13"/>
  <c r="I18" i="13"/>
  <c r="M23" i="13"/>
  <c r="M18" i="13"/>
  <c r="O23" i="13"/>
  <c r="O18" i="13"/>
  <c r="Q23" i="13"/>
  <c r="Q18" i="13"/>
  <c r="J28" i="10"/>
  <c r="I7" i="15"/>
  <c r="I11" i="15" s="1"/>
  <c r="H13" i="13"/>
  <c r="H16" i="13" s="1"/>
  <c r="C38" i="13" s="1"/>
  <c r="B13" i="4" s="1"/>
  <c r="R20" i="12"/>
  <c r="R21" i="12" s="1"/>
  <c r="R23" i="12" s="1"/>
  <c r="R13" i="13" s="1"/>
  <c r="R16" i="13" s="1"/>
  <c r="R23" i="13" s="1"/>
  <c r="R29" i="13"/>
  <c r="R34" i="13" s="1"/>
  <c r="R13" i="16"/>
  <c r="R14" i="16" s="1"/>
  <c r="R15" i="16" s="1"/>
  <c r="R16" i="16" s="1"/>
  <c r="R17" i="16" s="1"/>
  <c r="R22" i="16" s="1"/>
  <c r="C25" i="16" s="1"/>
  <c r="C28" i="4" s="1"/>
  <c r="R35" i="16"/>
  <c r="R36" i="16" s="1"/>
  <c r="R37" i="16" s="1"/>
  <c r="R19" i="12"/>
  <c r="J16" i="13"/>
  <c r="K16" i="13"/>
  <c r="N16" i="13"/>
  <c r="R38" i="16"/>
  <c r="R39" i="16" s="1"/>
  <c r="R44" i="16" s="1"/>
  <c r="C47" i="16" s="1"/>
  <c r="C30" i="4" s="1"/>
  <c r="C24" i="16"/>
  <c r="B28" i="4" s="1"/>
  <c r="C46" i="16"/>
  <c r="B30" i="4" s="1"/>
  <c r="R8" i="15"/>
  <c r="R25" i="15"/>
  <c r="P23" i="13" l="1"/>
  <c r="P18" i="13"/>
  <c r="L25" i="13"/>
  <c r="L26" i="15"/>
  <c r="I25" i="13"/>
  <c r="I26" i="15"/>
  <c r="M25" i="13"/>
  <c r="M26" i="15"/>
  <c r="O25" i="13"/>
  <c r="O26" i="15"/>
  <c r="Q25" i="13"/>
  <c r="Q26" i="15"/>
  <c r="K28" i="10"/>
  <c r="J7" i="15"/>
  <c r="J11" i="15" s="1"/>
  <c r="H23" i="13"/>
  <c r="H18" i="13"/>
  <c r="C40" i="13"/>
  <c r="R43" i="13"/>
  <c r="C46" i="13" s="1"/>
  <c r="B15" i="4" s="1"/>
  <c r="R25" i="13"/>
  <c r="R26" i="15"/>
  <c r="J18" i="13"/>
  <c r="J23" i="13"/>
  <c r="K18" i="13"/>
  <c r="K23" i="13"/>
  <c r="N18" i="13"/>
  <c r="N23" i="13"/>
  <c r="D28" i="4"/>
  <c r="D30" i="4"/>
  <c r="P25" i="13" l="1"/>
  <c r="P26" i="15"/>
  <c r="L28" i="10"/>
  <c r="K7" i="15"/>
  <c r="K11" i="15" s="1"/>
  <c r="H25" i="13"/>
  <c r="H26" i="15"/>
  <c r="H17" i="15" s="1"/>
  <c r="C36" i="13"/>
  <c r="C37" i="13"/>
  <c r="B12" i="4" s="1"/>
  <c r="B36" i="4"/>
  <c r="D36" i="4" s="1"/>
  <c r="B9" i="4"/>
  <c r="J25" i="13"/>
  <c r="J26" i="15"/>
  <c r="K25" i="13"/>
  <c r="K26" i="15"/>
  <c r="N25" i="13"/>
  <c r="N26" i="15"/>
  <c r="M28" i="10" l="1"/>
  <c r="L7" i="15"/>
  <c r="L11" i="15" s="1"/>
  <c r="C39" i="13"/>
  <c r="H42" i="13"/>
  <c r="I42" i="13" s="1"/>
  <c r="J42" i="13" s="1"/>
  <c r="K42" i="13" s="1"/>
  <c r="L42" i="13" s="1"/>
  <c r="M42" i="13" s="1"/>
  <c r="N42" i="13" s="1"/>
  <c r="O42" i="13" s="1"/>
  <c r="P42" i="13" s="1"/>
  <c r="Q42" i="13" s="1"/>
  <c r="R42" i="13" s="1"/>
  <c r="C45" i="13" s="1"/>
  <c r="B14" i="4" s="1"/>
  <c r="H18" i="15"/>
  <c r="H20" i="15" s="1"/>
  <c r="I17" i="15"/>
  <c r="B11" i="4"/>
  <c r="B34" i="4"/>
  <c r="D34" i="4" s="1"/>
  <c r="B29" i="4"/>
  <c r="N28" i="10" l="1"/>
  <c r="M7" i="15"/>
  <c r="M11" i="15" s="1"/>
  <c r="B10" i="4"/>
  <c r="B35" i="4"/>
  <c r="D35" i="4" s="1"/>
  <c r="C29" i="4"/>
  <c r="D29" i="4" s="1"/>
  <c r="I18" i="15"/>
  <c r="I20" i="15" s="1"/>
  <c r="J17" i="15"/>
  <c r="O28" i="10" l="1"/>
  <c r="N7" i="15"/>
  <c r="N11" i="15" s="1"/>
  <c r="J18" i="15"/>
  <c r="J20" i="15" s="1"/>
  <c r="K17" i="15"/>
  <c r="P28" i="10" l="1"/>
  <c r="O7" i="15"/>
  <c r="O11" i="15" s="1"/>
  <c r="K18" i="15"/>
  <c r="K20" i="15" s="1"/>
  <c r="L17" i="15"/>
  <c r="Q28" i="10" l="1"/>
  <c r="P7" i="15"/>
  <c r="P11" i="15" s="1"/>
  <c r="L18" i="15"/>
  <c r="L20" i="15" s="1"/>
  <c r="M17" i="15"/>
  <c r="R28" i="10" l="1"/>
  <c r="R7" i="15" s="1"/>
  <c r="R11" i="15" s="1"/>
  <c r="Q7" i="15"/>
  <c r="Q11" i="15" s="1"/>
  <c r="M18" i="15"/>
  <c r="M20" i="15" s="1"/>
  <c r="N17" i="15"/>
  <c r="N18" i="15" l="1"/>
  <c r="N20" i="15" s="1"/>
  <c r="O17" i="15"/>
  <c r="O18" i="15" l="1"/>
  <c r="O20" i="15" s="1"/>
  <c r="P17" i="15"/>
  <c r="P18" i="15" l="1"/>
  <c r="P20" i="15" s="1"/>
  <c r="Q17" i="15"/>
  <c r="Q18" i="15" l="1"/>
  <c r="Q20" i="15" s="1"/>
  <c r="R17" i="15"/>
  <c r="R18" i="15" s="1"/>
  <c r="R20" i="15" s="1"/>
  <c r="C72" i="4" l="1"/>
  <c r="B72" i="4"/>
  <c r="B7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7" authorId="0" shapeId="0" xr:uid="{00000000-0006-0000-0400-000001000000}">
      <text>
        <r>
          <rPr>
            <sz val="10"/>
            <rFont val="Arial"/>
            <family val="2"/>
          </rPr>
          <t>Dummy figure — this is a universal template; overwrite for your project's actual MW.</t>
        </r>
      </text>
    </comment>
    <comment ref="C8" authorId="0" shapeId="0" xr:uid="{00000000-0006-0000-0400-000002000000}">
      <text>
        <r>
          <rPr>
            <sz val="10"/>
            <rFont val="Arial"/>
            <family val="2"/>
          </rPr>
          <t>250MW/500MWh = 2-hour duration — the dominant configuration in India's 2025 standalone BESS allocations (57% of 10.4 GW awarded, per JMK Research/IEEFA, May 2026).</t>
        </r>
      </text>
    </comment>
    <comment ref="C12" authorId="0" shapeId="0" xr:uid="{00000000-0006-0000-0400-000003000000}">
      <text>
        <r>
          <rPr>
            <sz val="10"/>
            <rFont val="Arial"/>
            <family val="2"/>
          </rPr>
          <t>2026 benchmark: implied all-in capex from VGF Tranche II (~Rs1.8 Million/MWh at ~30% of capital cost =&gt; ~Rs6.0-9.5 Million/MWh) and IEEFA's USD115/kWh all-inclusive benchmark (~Rs8.5-9.8 Million/MWh at Rs85/USD). Lithium carbonate prices rose through 2025 and China's export-rebate removal from April 2026 is expected to push landed costs back up — this line is battery+PCS only; BOP is separate below.</t>
        </r>
      </text>
    </comment>
    <comment ref="C13" authorId="0" shapeId="0" xr:uid="{00000000-0006-0000-0400-000004000000}">
      <text>
        <r>
          <rPr>
            <sz val="10"/>
            <rFont val="Arial"/>
            <family val="2"/>
          </rPr>
          <t>Civil, switchyard, transformers, grid interconnection, EPC margin — scales with MW, not MWh; higher weight for shorter-duration (2-hr) systems since BOP cost doesn't shrink with duration.</t>
        </r>
      </text>
    </comment>
    <comment ref="C23" authorId="0" shapeId="0" xr:uid="{00000000-0006-0000-0400-000005000000}">
      <text>
        <r>
          <rPr>
            <sz val="10"/>
            <rFont val="Arial"/>
            <family val="2"/>
          </rPr>
          <t>Civil works (foundation, boundary wall, control room building) = immovable property. Per Sec 17(5), CGST Act, ITC on works contract services for immovable property is BLOCKED — this GST gets capitalised into the fixed asset block, not recovered. The remaining capex (battery, PCS, switchgear, cabling, racking — all movable plant &amp; machinery) carries recoverable ITC.</t>
        </r>
      </text>
    </comment>
    <comment ref="C28" authorId="0" shapeId="0" xr:uid="{00000000-0006-0000-0400-000006000000}">
      <text>
        <r>
          <rPr>
            <sz val="10"/>
            <rFont val="Arial"/>
            <family val="2"/>
          </rPr>
          <t>This is the correct IT depreciable base: capex excl. GST, PLUS the blocked GST on civil works (which cannot be claimed as ITC and so becomes part of asset cost). Recoverable GST on P&amp;M is excluded — it's a receivable, not a cost.</t>
        </r>
      </text>
    </comment>
    <comment ref="C29" authorId="0" shapeId="0" xr:uid="{00000000-0006-0000-0400-000007000000}">
      <text>
        <r>
          <rPr>
            <sz val="10"/>
            <rFont val="Arial"/>
            <family val="2"/>
          </rPr>
          <t>Utilized against OUTPUT GST liability on revenue over time (netted off electronically each year against GST collected from the offtaker), not claimed as a lump-sum cash refund — see Balance Sheet tab for the year-by-year utilization schedule.</t>
        </r>
      </text>
    </comment>
    <comment ref="C32" authorId="0" shapeId="0" xr:uid="{00000000-0006-0000-0400-000008000000}">
      <text>
        <r>
          <rPr>
            <sz val="10"/>
            <rFont val="Arial"/>
            <family val="2"/>
          </rPr>
          <t>SECI/MNRE VGF Tranche II (from July 2025): up to Rs1.8 Million/MWh, capped at 30% of capital cost. Set to 0 if bidding a non-VGF tender.</t>
        </r>
      </text>
    </comment>
    <comment ref="C34" authorId="0" shapeId="0" xr:uid="{00000000-0006-0000-0400-000009000000}">
      <text>
        <r>
          <rPr>
            <sz val="10"/>
            <rFont val="Arial"/>
            <family val="2"/>
          </rPr>
          <t>Modeled as a capital grant under the Ind AS 20 deferred-income method (matches the full lender model's convention): the fixed asset block is depreciated in full (unreduced by VGF), and the VGF liability is amortized to P&amp;L as grant income over the project life — see P&amp;L and Balance Sheet tabs. VGF reduces the funding requirement (debt+equity), not the depreciable cost.</t>
        </r>
      </text>
    </comment>
    <comment ref="C37" authorId="0" shapeId="0" xr:uid="{00000000-0006-0000-0400-00000A000000}">
      <text>
        <r>
          <rPr>
            <sz val="10"/>
            <rFont val="Arial"/>
            <family val="2"/>
          </rPr>
          <t>SBI-style structure: fund the FULL GST-inclusive project cost as one consolidated loan (VGF isn't received until Years 2-4, so it can't reduce the initial draw). GST ITC on plant &amp; machinery is utilized against output GST liability over time (see Balance Sheet).</t>
        </r>
      </text>
    </comment>
    <comment ref="C40" authorId="0" shapeId="0" xr:uid="{00000000-0006-0000-0400-00000B000000}">
      <text>
        <r>
          <rPr>
            <sz val="10"/>
            <rFont val="Arial"/>
            <family val="2"/>
          </rPr>
          <t>Must always read 0. This is the actual Day-0 funding identity: Debt + Equity fund the FULL project cost upfront, since VGF is not received until Years 2-4 (see the separate memo below — do not confuse the two).</t>
        </r>
      </text>
    </comment>
    <comment ref="C42" authorId="0" shapeId="0" xr:uid="{00000000-0006-0000-0400-00000C000000}">
      <text>
        <r>
          <rPr>
            <sz val="10"/>
            <rFont val="Arial"/>
            <family val="2"/>
          </rPr>
          <t>2026 benchmark for renewable/storage infra term loans from Indian PSU banks (SBI-type), PLR-linked.</t>
        </r>
      </text>
    </comment>
    <comment ref="C43" authorId="0" shapeId="0" xr:uid="{00000000-0006-0000-0400-00000D000000}">
      <text>
        <r>
          <rPr>
            <sz val="10"/>
            <rFont val="Arial"/>
            <family val="2"/>
          </rPr>
          <t>Matches 15-year project/PPA life as specified. Note: 2025 Indian standalone BESS tenders most commonly used a 12-year contract tenor (57% of allocations) — adjust if bidding into a 12-year structure.</t>
        </r>
      </text>
    </comment>
    <comment ref="C48" authorId="0" shapeId="0" xr:uid="{00000000-0006-0000-0400-00000E000000}">
      <text>
        <r>
          <rPr>
            <sz val="10"/>
            <rFont val="Arial"/>
            <family val="2"/>
          </rPr>
          <t>LFP grid-scale systems typically 85-90% RTE (IEEFA uses 90% in its benchmark model); 87% is a conservative mid-point accounting for auxiliary losses.</t>
        </r>
      </text>
    </comment>
    <comment ref="C49" authorId="0" shapeId="0" xr:uid="{00000000-0006-0000-0400-00000F000000}">
      <text>
        <r>
          <rPr>
            <sz val="10"/>
            <rFont val="Arial"/>
            <family val="2"/>
          </rPr>
          <t>2-cycle configuration is the dominant structure for 2-hour Indian standalone BESS tenders (covers both morning and evening peaks).</t>
        </r>
      </text>
    </comment>
    <comment ref="C50" authorId="0" shapeId="0" xr:uid="{00000000-0006-0000-0400-000010000000}">
      <text>
        <r>
          <rPr>
            <sz val="10"/>
            <rFont val="Arial"/>
            <family val="2"/>
          </rPr>
          <t>Used for Energy Discharged (physical MWh throughput) only — reflects planned/unplanned outage time affecting actual cycling. Separate from Capacity Availability below, which drives the Capacity Revenue payment.</t>
        </r>
      </text>
    </comment>
    <comment ref="C51" authorId="0" shapeId="0" xr:uid="{00000000-0006-0000-0400-000011000000}">
      <text>
        <r>
          <rPr>
            <sz val="10"/>
            <rFont val="Arial"/>
            <family val="2"/>
          </rPr>
          <t>Assume 100% — Capacity Revenue is FIXED as long as you meet your committed degradation curve (standard BESPA structure). This row exists so the multiplication is explicit and auditable, and so you can stress-test a lower value if you ever want to model a scenario where capacity payment itself is prorated (most contracts instead use LD for underperformance, not a revenue haircut — see the LD Risk Calculator).</t>
        </r>
      </text>
    </comment>
    <comment ref="C54" authorId="0" shapeId="0" xr:uid="{00000000-0006-0000-0400-000012000000}">
      <text>
        <r>
          <rPr>
            <sz val="10"/>
            <rFont val="Arial"/>
            <family val="2"/>
          </rPr>
          <t>Replaced with a proper 3-stage curve (front-loaded fade tapering to steady-state) on the dedicated 'Degradation Curve' tab — a single flat annual rate understates early-year degradation, which is exactly when DSCR is tightest.</t>
        </r>
      </text>
    </comment>
    <comment ref="C55" authorId="0" shapeId="0" xr:uid="{00000000-0006-0000-0400-000013000000}">
      <text>
        <r>
          <rPr>
            <sz val="10"/>
            <rFont val="Arial"/>
            <family val="2"/>
          </rPr>
          <t>Reflects cell price decline + only battery/PCS portion needs replacing, not BOP. Augmentation timing itself is now tender-benchmarked, not a fixed input here — see the Tender Minimum MWh schedule on the Degradation-Augmentation tab.</t>
        </r>
      </text>
    </comment>
    <comment ref="C58" authorId="0" shapeId="0" xr:uid="{00000000-0006-0000-0400-000014000000}">
      <text>
        <r>
          <rPr>
            <sz val="10"/>
            <rFont val="Arial"/>
            <family val="2"/>
          </rPr>
          <t>Standard clause across SECI/MSEDCL/RVUNL standard BESPA tenders: 'Liquidated damages shall be twice the Capacity Charges for the capacity not made available.' LD only applies if ACTUAL performance falls below your OWN COMMITTED degradation curve (the curve on the Degradation Curve tab) — not below 100%. If you perform exactly as committed, LD = 0 and revenue is fully fixed.</t>
        </r>
      </text>
    </comment>
    <comment ref="C59" authorId="0" shapeId="0" xr:uid="{00000000-0006-0000-0400-000015000000}">
      <text>
        <r>
          <rPr>
            <sz val="10"/>
            <rFont val="Arial"/>
            <family val="2"/>
          </rPr>
          <t>Downside scenario only — e.g. 20% means actual annual fade rates run 20% higher than your committed curve every year (poor cell quality, higher real-world cycling, etc). Set to 0% to see the LD-free base case. This does NOT feed into the main P&amp;L/DSCR/IRR — see the LD Risk Calculator section on the Degradation-Augmentation tab for the resulting exposure.</t>
        </r>
      </text>
    </comment>
    <comment ref="C62" authorId="0" shapeId="0" xr:uid="{00000000-0006-0000-0400-000016000000}">
      <text>
        <r>
          <rPr>
            <sz val="10"/>
            <rFont val="Arial"/>
            <family val="2"/>
          </rPr>
          <t>Tuned to IEEFA's benchmark of O&amp;M at ~1.5% of capex/year; expressed per MW for easy scaling.</t>
        </r>
      </text>
    </comment>
    <comment ref="C69" authorId="0" shapeId="0" xr:uid="{00000000-0006-0000-0400-000017000000}">
      <text>
        <r>
          <rPr>
            <sz val="10"/>
            <rFont val="Arial"/>
            <family val="2"/>
          </rPr>
          <t>Battery+PCS+BOP, pooled as one block per Sec 32 (same asset class/rate). Confirm applicable rate for BESS-specific plant &amp; machinery with your tax team — some renewable energy devices qualify for accelerated rates.</t>
        </r>
      </text>
    </comment>
    <comment ref="C70" authorId="0" shapeId="0" xr:uid="{00000000-0006-0000-0400-000018000000}">
      <text>
        <r>
          <rPr>
            <sz val="10"/>
            <rFont val="Arial"/>
            <family val="2"/>
          </rPr>
          <t>Separate block per Sec 32 — buildings/civil works cannot be pooled with P&amp;M since they carry a different prescribed rate. 10% is the standard factory-building WDV rate; confirm with your tax team.</t>
        </r>
      </text>
    </comment>
    <comment ref="C73" authorId="0" shapeId="0" xr:uid="{00000000-0006-0000-0400-000019000000}">
      <text>
        <r>
          <rPr>
            <sz val="10"/>
            <rFont val="Arial"/>
            <family val="2"/>
          </rPr>
          <t>Schedule II, Companies Act 2013. Defaults to project life; can differ from the IT block rates/lives above — book and tax depreciation are independently computed, as they use different rules.</t>
        </r>
      </text>
    </comment>
    <comment ref="C74" authorId="0" shapeId="0" xr:uid="{00000000-0006-0000-0400-00001A000000}">
      <text>
        <r>
          <rPr>
            <sz val="10"/>
            <rFont val="Arial"/>
            <family val="2"/>
          </rPr>
          <t>Schedule II caps residual value at 5% of original cost — i.e., at least 95% must be depreciated (SLM) over the useful life. This is a BOOKS-ONLY rule; it does not apply to the IT WDV blocks above, which have no such floor/ceiling.</t>
        </r>
      </text>
    </comment>
    <comment ref="C77" authorId="0" shapeId="0" xr:uid="{00000000-0006-0000-0400-00001B000000}">
      <text>
        <r>
          <rPr>
            <sz val="10"/>
            <rFont val="Arial"/>
            <family val="2"/>
          </rPr>
          <t>GOAL SEEK THIS CELL. Pre-solved at ~Rs6.6 Million/MW/year — DSCR is the binding constraint here (1.30x vs 1.30x floor; DSCR excludes augmentation capex by design, so this doesn't move with augmentation assumptions). Equity IRR clears comfortably at 31.5% vs 17% hurdle, Project IRR at 14.6% vs 11% target — both benefit from augmentation now costing only what's actually needed to restore the MWh shortfall against your tender-minimum schedule (Degradation-Augmentation tab), not a flat full-replacement lump sum. FCFE and Project Cash Flow also properly reflect the ITC set-off against output GST (realized as revenue accrues) and VGF (received in Years 2-4) as actual cash inflows when realized. Capacity Revenue is the FULL fixed MW x Bid Price payment. For reference: Delhi's Kilokari BESS (20MW, concessional 70% GEAPP financing) cleared at Rs5.76 Million/MW/year; the prior DERC benchmark tariff was Rs13.0 Million/MW/year.</t>
        </r>
      </text>
    </comment>
    <comment ref="C81" authorId="0" shapeId="0" xr:uid="{00000000-0006-0000-0400-00001C000000}">
      <text>
        <r>
          <rPr>
            <sz val="10"/>
            <rFont val="Arial"/>
            <family val="2"/>
          </rPr>
          <t>WARNING: this is NOT what's drawn as debt+equity on Day 0 — see the 'Check: Debt + Equity = Total Project Cost' row under Means of Finance above, which is the real Day-0 identity. This memo figure (Total Capex minus VGF) exists ONLY to size the Year-0 outflow in the Project IRR calc (Cash Flow tab), so that VGF isn't double-counted as both a reduced invested-capital base AND a later cash inflow. It has no other use anywhere in this model.</t>
        </r>
      </text>
    </comment>
    <comment ref="C84" authorId="0" shapeId="0" xr:uid="{00000000-0006-0000-0400-00001D000000}">
      <text>
        <r>
          <rPr>
            <sz val="10"/>
            <rFont val="Arial"/>
            <family val="2"/>
          </rPr>
          <t>Second-life resale + material recycling value of the battery/PCS at end of project life. Industry range 20-25%; 22.5% used as midpoint. Taxed properly under Sec 50 (Income Tax Act): compared against the IT Plant &amp; Machinery block's closing WDV (not book WDV) — the excess (if any) is a deemed Short-Term Capital Gain taxed at the standard corporate rate (Sec 50 gains get NO concessional capital-gains rate for companies); a shortfall becomes a terminal depreciation deduction instead. See Depreciation tab for the full calc.</t>
        </r>
      </text>
    </comment>
    <comment ref="C86" authorId="0" shapeId="0" xr:uid="{00000000-0006-0000-0400-00001E000000}">
      <text>
        <r>
          <rPr>
            <sz val="10"/>
            <rFont val="Arial"/>
            <family val="2"/>
          </rPr>
          <t>Solar/wind project finance typically clears at 1.20x-1.25x. Standalone BESS lenders in India apply a higher floor — commonly 1.30x-1.40x — to price in augmentation-capex risk, cycling-dependent degradation, and the asset class's shorter operating track record.</t>
        </r>
      </text>
    </comment>
    <comment ref="C87" authorId="0" shapeId="0" xr:uid="{00000000-0006-0000-0400-00001F000000}">
      <text>
        <r>
          <rPr>
            <sz val="10"/>
            <rFont val="Arial"/>
            <family val="2"/>
          </rPr>
          <t>Per JMK Research/IEEFA (May 2026), lenders and sponsors typically underwrite standalone BESS in India to equity IRRs of 15-20% — materially above solar/wind's ~14% hurdle — reflecting technology, execution and merchant/augmentation risk. 17% is a reasonable mid-point.</t>
        </r>
      </text>
    </comment>
    <comment ref="C88" authorId="0" shapeId="0" xr:uid="{00000000-0006-0000-0400-000020000000}">
      <text>
        <r>
          <rPr>
            <sz val="10"/>
            <rFont val="Arial"/>
            <family val="2"/>
          </rPr>
          <t>Published Indian utility-scale solar/wind project (unlevered) IRRs typically run 8-12%. There is no single widely-published BESS-specific project IRR benchmark the way there is for Equity IRR or DSCR — 11% applies the same risk-premium logic used for those two (BESS carries more technology/execution/augmentation risk than solar), landing at the upper end of the general renewable range rather than a BESS-specific cited figure. Treat this as a reasoned target, not an authoritative published number — revise if you have a firmer view.</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8" authorId="0" shapeId="0" xr:uid="{00000000-0006-0000-0E00-000001000000}">
      <text>
        <r>
          <rPr>
            <sz val="10"/>
            <rFont val="Arial"/>
            <family val="2"/>
          </rPr>
          <t>ITC on plant &amp; machinery is utilized (netted off) against OUTPUT GST liability on revenue each year, NOT claimed as a lump-sum cash refund. The offtaker pays GST on top of the capacity charge; as long as the ITC pool has balance, that collected GST need not be remitted in cash — it is instead retained and offsets the ITC pool. Once the pool is exhausted, full output GST is remitted in cash each year (a pure pass-through with no P&amp;L or equity impact from that point).</t>
        </r>
      </text>
    </comment>
    <comment ref="A26" authorId="0" shapeId="0" xr:uid="{00000000-0006-0000-0E00-000002000000}">
      <text>
        <r>
          <rPr>
            <sz val="10"/>
            <rFont val="Arial"/>
            <family val="2"/>
          </rPr>
          <t>Simplifying assumption: 100% of Free Cash Flow to Equity (Cash Flow tab — which already includes ITC utilization and any unused-VGF sweep) is distributed as dividend each year — typical for an Indian infra SPV upstreaming to a holding company. This is what keeps Cash &amp; Bank at zero and lets the Balance Sheet tie out by construction. If the total is negative in a year, this line represents an equity cash call, not a literal dividend. Change this policy (e.g. cash retention) if it doesn't match your structure — but then Cash &amp; Bank must be un-fixed from zero and built up as a running balance instead.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5" authorId="0" shapeId="0" xr:uid="{00000000-0006-0000-0500-000001000000}">
      <text>
        <r>
          <rPr>
            <sz val="10"/>
            <rFont val="Arial"/>
            <family val="2"/>
          </rPr>
          <t>Front-loaded fade from SEI (solid-electrolyte interface) formation in a fresh cell — the steepest single-year drop in the battery's life.</t>
        </r>
      </text>
    </comment>
    <comment ref="C8" authorId="0" shapeId="0" xr:uid="{00000000-0006-0000-0500-000002000000}">
      <text>
        <r>
          <rPr>
            <sz val="10"/>
            <rFont val="Arial"/>
            <family val="2"/>
          </rPr>
          <t>Applies from the year after Stage 2 through to the augmentation trigger, AND for all years after any augmentation (the front-loaded Stage 1/2 curve applies only once, at initial commissioning — not re-triggered by augmentation, per your specification).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6" authorId="0" shapeId="0" xr:uid="{00000000-0006-0000-0600-000001000000}">
      <text>
        <r>
          <rPr>
            <sz val="10"/>
            <rFont val="Arial"/>
            <family val="2"/>
          </rPr>
          <t>DUMMY — power (MW) rating typically degrades far less than energy (MWh); shown flat at rated MW as a placeholder. Update per your actual OEM/tender guarantee if different.</t>
        </r>
      </text>
    </comment>
    <comment ref="D7" authorId="0" shapeId="0" xr:uid="{00000000-0006-0000-0600-000002000000}">
      <text>
        <r>
          <rPr>
            <sz val="10"/>
            <rFont val="Arial"/>
            <family val="2"/>
          </rPr>
          <t>DUMMY declining schedule (illustrative ~90% Year 1 tapering ~0.7pp/year) — REPLACE with the actual guaranteed minimum MWh schedule from your OEM performance guarantee or tender document. This is what augmentation timing is benchmarked against below, not a flat internal floor.</t>
        </r>
      </text>
    </comment>
    <comment ref="D14" authorId="0" shapeId="0" xr:uid="{00000000-0006-0000-0600-000003000000}">
      <text>
        <r>
          <rPr>
            <sz val="10"/>
            <rFont val="Arial"/>
            <family val="2"/>
          </rPr>
          <t>Dynamic trigger: fires whenever Capacity Before Augmentation would fall below YOUR Tender Minimum MWh for that year — not a fixed cycle. Augmentation restores capacity to full Rated MWh, and cost scales with the actual MWh shortfall (not a flat lump sum), since real augmentation adds only as many new cells as needed.</t>
        </r>
      </text>
    </comment>
    <comment ref="D29" authorId="0" shapeId="0" xr:uid="{00000000-0006-0000-0600-000004000000}">
      <text>
        <r>
          <rPr>
            <sz val="10"/>
            <rFont val="Arial"/>
            <family val="2"/>
          </rPr>
          <t>The stressed path now has its OWN independent augmentation trigger against the same Tender Minimum MWh schedule — it does NOT wait for the committed path's own augmentation timing. Since stressed degradation is faster by construction, this path typically triggers its (unplanned) augmentation earlier than the committed path does, which is the realistic behavior: a genuinely worse-performing asset needs an earlier fix, not years of mounting LD before an unrelated reset.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7" authorId="0" shapeId="0" xr:uid="{00000000-0006-0000-0700-000001000000}">
      <text>
        <r>
          <rPr>
            <sz val="10"/>
            <rFont val="Arial"/>
            <family val="2"/>
          </rPr>
          <t>Capacity Revenue = MW x Bid Price x Capacity Availability Factor. The factor is assumed 100% — Capacity Revenue is the FULL, FIXED payment every year, standard for Indian BESPA contracts. Falling short of your committed availability/degradation curve triggers Liquidated Damages instead (see the LD Risk Calculator on the Degradation-Augmentation tab) rather than a permanent revenue haircut — applying both would double-count the same risk. This row is kept explicit (rather than folded silently into a x1 multiplication) so the calculation is auditable and can be stress-tested if you ever want to model a capacity-proration scenario.</t>
        </r>
      </text>
    </comment>
    <comment ref="R10" authorId="0" shapeId="0" xr:uid="{00000000-0006-0000-0700-000002000000}">
      <text>
        <r>
          <rPr>
            <sz val="10"/>
            <rFont val="Arial"/>
            <family val="2"/>
          </rPr>
          <t>Battery+PCS original capex x salvage %, recognized as ordinary income in the final year. Flows into Total Revenue below, so it automatically picks up: (a) GST output liability on the Balance Sheet tab (netted against any remaining ITC pool, else remitted in cash), and (b) standard corporate tax via P&amp;L — matches your instruction to tax it as part of overall P&amp;L profit, no separate capital-gains carve-out.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27" authorId="0" shapeId="0" xr:uid="{00000000-0006-0000-0900-000001000000}">
      <text>
        <r>
          <rPr>
            <sz val="10"/>
            <rFont val="Arial"/>
            <family val="2"/>
          </rPr>
          <t>Each addition (Year 0 capex, and any later augmentation) is depreciated SLM over its own Useful Life from the year after it's added, capped so cumulative charges never exceed (1-Residual%) of that addition's cost — matches Schedule II. Fully general: works correctly whatever Useful Life or Residual % you set, and however many augmentation events occur.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9" authorId="0" shapeId="0" xr:uid="{00000000-0006-0000-0A00-000001000000}">
      <text>
        <r>
          <rPr>
            <sz val="10"/>
            <rFont val="Arial"/>
            <family val="2"/>
          </rPr>
          <t>VGF is disbursed in three equal tranches in Years 2, 3, and 4 (milestone-linked, as is common for these schemes) and used entirely to prepay the term loan — matches the Balance Sheet's VGF Receivable schedule. Capped at whatever balance remains after scheduled principal, so it can never overpay the loan. Excluded from 'Total Debt Service' for DSCR purposes, since lenders assess DSCR against ordinary scheduled debt service from operations, not a one-off subsidy-funded sweep.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9" authorId="0" shapeId="0" xr:uid="{00000000-0006-0000-0B00-000001000000}">
      <text>
        <r>
          <rPr>
            <sz val="10"/>
            <rFont val="Arial"/>
            <family val="2"/>
          </rPr>
          <t>VGF is a capital grant amortized straight-line over the project life (Ind AS 20 deferred-income method). This is a non-cash P&amp;L credit; it is excluded from CFADS (Cash Flow tab) since no cash changes hands the year it's recognized. Applied identically to both book and taxable PBT here as a simplification.</t>
        </r>
      </text>
    </comment>
    <comment ref="A10" authorId="0" shapeId="0" xr:uid="{00000000-0006-0000-0B00-000002000000}">
      <text>
        <r>
          <rPr>
            <sz val="10"/>
            <rFont val="Arial"/>
            <family val="2"/>
          </rPr>
          <t>Reference only, for matching a specific lender's covenant EBITDA definition if their financing agreement explicitly includes grant amortization (varies lender to lender — check the actual term sheet). Standard Ind AS 20 presentation keeps grant income out of EBITDA (it's capital in nature, not operating income), which is why the main EBITDA line above excludes it. This memo line does NOT feed Book PBT, Taxable PBT, Tax, PAT, CFADS, DSCR, or IRR anywhere in this model — it's purely a display alternative.</t>
        </r>
      </text>
    </comment>
    <comment ref="A23" authorId="0" shapeId="0" xr:uid="{00000000-0006-0000-0B00-000003000000}">
      <text>
        <r>
          <rPr>
            <sz val="10"/>
            <rFont val="Arial"/>
            <family val="2"/>
          </rPr>
          <t>Book PAT = Book PBT (using Companies Act SLM depreciation) minus the ACTUAL cash tax expense (computed on the Taxable PBT basis, using IT block WDV depreciation + Sec 50 effects). This is standard practice — the P&amp;L shows real tax law liability as the tax expense, even though book profit is computed differently. The resulting year-to-year book effective tax rate will vary from the headline rate (this is normal timing difference; a full Ind AS 12 model would additionally book Deferred Tax Asset/Liability to smooth this — not done here for simplicity, but it doesn't affect any cash flow, DSCR, or IRR figure, since those are driven by actual cash tax regardless.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21" authorId="0" shapeId="0" xr:uid="{00000000-0006-0000-0C00-000001000000}">
      <text>
        <r>
          <rPr>
            <sz val="10"/>
            <rFont val="Arial"/>
            <family val="2"/>
          </rPr>
          <t>GST ITC on plant &amp; machinery offsets output GST liability on revenue each year until the pool is exhausted (~Year 4) — this is real retained cash (collected from the offtaker but not remitted to government), so it correctly belongs in FCFE the year it's realized, not netted against Year 0 capex.</t>
        </r>
      </text>
    </comment>
    <comment ref="A22" authorId="0" shapeId="0" xr:uid="{00000000-0006-0000-0C00-000002000000}">
      <text>
        <r>
          <rPr>
            <sz val="10"/>
            <rFont val="Arial"/>
            <family val="2"/>
          </rPr>
          <t>If the term loan is already fully repaid before absorbing a full VGF tranche, the leftover VGF cash that year has nowhere else to go — it flows to equity as extra distributable cash, matching the Balance Sheet's dividend sweep.</t>
        </r>
      </text>
    </comment>
    <comment ref="A33" authorId="0" shapeId="0" xr:uid="{00000000-0006-0000-0C00-000003000000}">
      <text>
        <r>
          <rPr>
            <sz val="10"/>
            <rFont val="Arial"/>
            <family val="2"/>
          </rPr>
          <t>Project IRR is computed net of VGF (grant reduces the capital that needs to earn a return) and excludes grant-income amortization from operating cash flow, to avoid double-counting the VGF benefit. This differs from the statutory P&amp;L/Balance Sheet treatment (full gross block, deferred income amortized) — both are correct for their respective purposes.</t>
        </r>
      </text>
    </comment>
    <comment ref="C38" authorId="0" shapeId="0" xr:uid="{00000000-0006-0000-0C00-000004000000}">
      <text>
        <r>
          <rPr>
            <sz val="10"/>
            <rFont val="Arial"/>
            <family val="2"/>
          </rPr>
          <t>NPV of CFADS over the debt tenor (or model horizon, whichever is shorter), discounted at the cost of debt, divided by the initial debt amount. A widely-used lender metric alongside DSCR — LLCR &gt; 1 means the project's remaining cash flow (in PV terms) fully covers the outstanding loan.</t>
        </r>
      </text>
    </comment>
    <comment ref="C45" authorId="0" shapeId="0" xr:uid="{00000000-0006-0000-0C00-000005000000}">
      <text>
        <r>
          <rPr>
            <sz val="10"/>
            <rFont val="Arial"/>
            <family val="2"/>
          </rPr>
          <t>Simple (undiscounted) payback — years from COD until cumulative equity cash flow turns positive. Interpolated within the crossing year. Not discounted; treat alongside Equity IRR, not as a substitute for it.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O7" authorId="0" shapeId="0" xr:uid="{00000000-0006-0000-0D00-000003000000}">
      <text>
        <r>
          <rPr>
            <sz val="10"/>
            <rFont val="Arial"/>
            <family val="2"/>
          </rPr>
          <t>Default is an illustrative mild S-curve (slow mobilization, peak equipment delivery/installation, tapering commissioning). Overwrite with your actual EPC schedule — must sum to 100%; a check below flags if it doesn't.</t>
        </r>
      </text>
    </comment>
    <comment ref="A13" authorId="0" shapeId="0" xr:uid="{00000000-0006-0000-0D00-000001000000}">
      <text>
        <r>
          <rPr>
            <sz val="10"/>
            <rFont val="Arial"/>
            <family val="2"/>
          </rPr>
          <t>Debt and equity are drawn pari-passu — the same Debt:Equity ratio (from Assumptions) applied to every month's capex need. Some lenders require equity-first or a minimum equity infusion ahead of debt release; edit the ratio per-month here directly if your term sheet requires a different drawdown sequence.</t>
        </r>
      </text>
    </comment>
    <comment ref="B20" authorId="0" shapeId="0" xr:uid="{00000000-0006-0000-0D00-000002000000}">
      <text>
        <r>
          <rPr>
            <sz val="10"/>
            <rFont val="Arial"/>
            <family val="2"/>
          </rPr>
          <t>This schedule is illustrative/informational — it does NOT feed back into the main model's Total Capex, Debt, or Equity figures (those still use the flat IDC % assumption in Assumptions, to avoid re-verifying the entire 1600+ formula model). If this variance is large, consider updating the flat IDC % assumption on the Assumptions tab to match, then the whole model re-solves consistently.</t>
        </r>
      </text>
    </comment>
  </commentList>
</comments>
</file>

<file path=xl/sharedStrings.xml><?xml version="1.0" encoding="utf-8"?>
<sst xmlns="http://schemas.openxmlformats.org/spreadsheetml/2006/main" count="608" uniqueCount="509">
  <si>
    <t>⚡  camsroy.com</t>
  </si>
  <si>
    <t>Bid-Decision &amp; Lender-Ready Financial Models  |  Standalone BESS Project Finance</t>
  </si>
  <si>
    <t>Standalone BESS — Bid-Decision &amp; Lender Financial Model</t>
  </si>
  <si>
    <t>Bid Price Discovery + DSCR / IRR / Balance-Sheet-Certified Model  |  IREDA / PFC / REC / Commercial Bank Format</t>
  </si>
  <si>
    <t>Project Name</t>
  </si>
  <si>
    <t>[Enter Project SPV Name]</t>
  </si>
  <si>
    <t>Capacity</t>
  </si>
  <si>
    <t>Technology</t>
  </si>
  <si>
    <t>Lithium-ion (LFP)</t>
  </si>
  <si>
    <t>Location</t>
  </si>
  <si>
    <t>[State / Site]</t>
  </si>
  <si>
    <t>Off-taker</t>
  </si>
  <si>
    <t>[SECI / State DISCOM / Utility]</t>
  </si>
  <si>
    <t>Analysis Period</t>
  </si>
  <si>
    <t>Total Project Cost</t>
  </si>
  <si>
    <t>Debt : Equity</t>
  </si>
  <si>
    <t>Recommended Bid Price</t>
  </si>
  <si>
    <t>Prepared By</t>
  </si>
  <si>
    <t>[Your Name / Firm]</t>
  </si>
  <si>
    <t>Date</t>
  </si>
  <si>
    <t>[Submission Date]</t>
  </si>
  <si>
    <t>Universal template — works for any MW / MWh standalone BESS capacity project</t>
  </si>
  <si>
    <t>PURPOSE</t>
  </si>
  <si>
    <t>This model computes the minimum CAPACITY CHARGE (₹ Million/MW/year) you must bid to simultaneously meet three checks:</t>
  </si>
  <si>
    <t xml:space="preserve">  (a) the lender's minimum DSCR requirement,</t>
  </si>
  <si>
    <t xml:space="preserve">  (b) your sponsor's minimum Equity IRR hurdle, and</t>
  </si>
  <si>
    <t xml:space="preserve">  (c) a reasoned Project IRR (unlevered) target.</t>
  </si>
  <si>
    <t>HOW TO USE — GOAL SEEK</t>
  </si>
  <si>
    <t>1. Go to 'Assumptions' and 'Degradation Curve'. These are the ONLY two tabs you edit — enter your project's MW/MWh, capex, financing, degradation, opex, tax, VGF, LD, and salvage assumptions (all BLUE cells).</t>
  </si>
  <si>
    <t>2. Go to 'Dashboard'. Check the 'Model Integrity Checks' block near the bottom reads all 'OK', and the Balance Sheet 'BALANCE CHECK' row (on the Balance Sheet tab) reads 0 in every year.</t>
  </si>
  <si>
    <t>3. Use Excel Data &gt; What-If Analysis &gt; Goal Seek, run separately against each of the three Decision Checks:</t>
  </si>
  <si>
    <t xml:space="preserve">     Set cell:    Dashboard! DSCR (or Equity IRR, or Project IRR) result cell</t>
  </si>
  <si>
    <t xml:space="preserve">     To value:    the floor/hurdle/target shown in the adjacent column</t>
  </si>
  <si>
    <t xml:space="preserve">     By changing: Assumptions! Capacity Charge cell (highlighted YELLOW, 'THE BID PRICE')</t>
  </si>
  <si>
    <t>4. The HIGHEST of the three resulting bid prices is your bindable minimum — quoting below it breaches one of the three checks. Also check the 'Sensitivity Buffer +/-5%' block: if 'Bid Price -5%' shows FAIL, you have no real margin of safety at your chosen price.</t>
  </si>
  <si>
    <t>5. Re-run recalculation (F9) after every assumption change, and re-check both the Integrity Checks and Balance Check before trusting the numbers.</t>
  </si>
  <si>
    <t>COLOR LEGEND</t>
  </si>
  <si>
    <t xml:space="preserve">  Blue text        = hardcoded input / assumption — edit these (Assumptions + Degradation Curve tabs only)</t>
  </si>
  <si>
    <t xml:space="preserve">  Black text       = formula — do not overwrite, on any other tab</t>
  </si>
  <si>
    <t xml:space="preserve">  Green text       = link pulled from another sheet</t>
  </si>
  <si>
    <t xml:space="preserve">  Yellow fill      = a key decision output (the bid price cell, or a headline result) — Goal Seek targets these</t>
  </si>
  <si>
    <t>SHEET MAP (14 tabs)</t>
  </si>
  <si>
    <t xml:space="preserve">  Assumptions              - project size, capex, GST/ITC civil-vs-P&amp;M split, VGF, financing, opex, tax/depreciation rates, LD calculator inputs, salvage value, decision targets, and the bid price cell</t>
  </si>
  <si>
    <t xml:space="preserve">  Degradation Curve        - your 3-stage capacity fade curve (front-loaded fade tapering to steady-state) — the only other tab you edit</t>
  </si>
  <si>
    <t xml:space="preserve">  Degradation-Augmentation - year-by-year fade, DUMMY tender-minimum schedule (edit per OEM/tender), dynamic augmentation trigger/cost, and the LD Risk Calculator (EPC performance-guarantee sizing tool)</t>
  </si>
  <si>
    <t xml:space="preserve">  Revenue                  - fixed capacity revenue (not degradation-linked — LD is the mechanism for underperformance, see Assumptions), optional energy revenue, salvage value in Year 15</t>
  </si>
  <si>
    <t xml:space="preserve">  Opex                     - fixed O&amp;M (escalated) + insurance</t>
  </si>
  <si>
    <t xml:space="preserve">  Depreciation             - THREE separate schedules: IT Block 1 (Plant&amp;Machinery, WDV), IT Block 2 (Civil Works, WDV), and Companies Act Book (SLM, Schedule II) — plus the Sec 50 capital gains/terminal depreciation calc on salvage</t>
  </si>
  <si>
    <t xml:space="preserve">  Debt Schedule            - equal-principal amortisation, moratorium-aware, plus VGF prepayment in Years 2-4</t>
  </si>
  <si>
    <t xml:space="preserve">  P&amp;L                      - Book P&amp;L (feeds Balance Sheet/Reserves) shown alongside Taxable P&amp;L (drives actual cash tax) — includes a memo EBITDA-incl-grant-income line for lender covenant matching</t>
  </si>
  <si>
    <t xml:space="preserve">  Cash Flow                - Year 0 construction financing block, CFADS, DSCR/year, FCFE, cumulative cash flow, Payback Period, Project (unlevered) cash flow, and all headline return metrics</t>
  </si>
  <si>
    <t xml:space="preserve">  Year 0 Phasing           - 12-month construction-period capex/debt/equity drawdown schedule (editable phasing curve) with a bottom-up IDC cross-check</t>
  </si>
  <si>
    <t xml:space="preserve">  Balance Sheet            - full 3-statement tie-out (Assets = Liabilities + Equity, every year) including GST/ITC utilization schedule</t>
  </si>
  <si>
    <t xml:space="preserve">  Sensitivity              - live Bid Price +/-5% scenarios, feeding the Dashboard's Sensitivity Buffer block</t>
  </si>
  <si>
    <t xml:space="preserve">  Dashboard                - Bid Summary, LD risk exposure, Sensitivity Buffer, Decision Checks, Goal Seek guidance, industry benchmarks, and Model Integrity Checks</t>
  </si>
  <si>
    <t>KEY DESIGN DECISIONS — read before changing assumptions</t>
  </si>
  <si>
    <t xml:space="preserve">  - Capacity revenue is FIXED regardless of degradation (matches real BESPA contracts) — underperformance vs your OWN committed degradation curve triggers Liquidated Damages instead (2x Capacity Charge on the shortfall, per standard SECI/MSEDCL/RVUNL clauses). The LD Risk Calculator sizes this for an EPC back-to-back performance guarantee — it is NOT wired into DSCR/IRR, since that risk is assumed passed through to the EPC contractor.</t>
  </si>
  <si>
    <t xml:space="preserve">  - VGF is NOT available at COD — debt+equity fund the FULL project cost upfront, and VGF arrives in 3 equal tranches in Years 2-4, used entirely to prepay the term loan (excluded from DSCR-relevant debt service, since it's a subsidy sweep, not scheduled debt service).</t>
  </si>
  <si>
    <t xml:space="preserve">  - Book depreciation (Companies Act, SLM) and Tax depreciation (IT blocks, WDV) are fully independent — Book PAT = Book PBT minus the ACTUAL cash tax (computed on the tax basis). This does not require a formal Deferred Tax Asset/Liability line to balance, since CFADS is mathematically independent of which depreciation schedule you look at (only actual cash tax matters for cash flow).</t>
  </si>
  <si>
    <t xml:space="preserve">  - Salvage value (battery second-life resale, Year 15) is taxed under Sec 50 against the IT Plant &amp; Machinery block's WDV specifically — NOT a blended or book-basis WDV, and NOT a concessional capital-gains rate (none exists for companies under Sec 50).</t>
  </si>
  <si>
    <t xml:space="preserve">  - Equal-principal debt amortisation is used (not DSCR-sculpted) — sculpting can be layered into a full lender model once the bid price is set here.</t>
  </si>
  <si>
    <t xml:space="preserve">  - Augmentation capex is assumed funded from operating cash flow (deducted from FCFE the year incurred) — more conservative than bank-financing it separately.</t>
  </si>
  <si>
    <t xml:space="preserve">  - The model horizon is fixed at 15 operating years (Year 0 = 12-month construction + Years 1-15 = operations). Changing 'Project/PPA Life' on Assumptions does NOT add or remove year columns — see the Model Integrity Checks on Dashboard, which will flag this.</t>
  </si>
  <si>
    <t>BEFORE USING THIS FOR A REAL BID — VERIFY THESE WITH YOUR OWN TEAM</t>
  </si>
  <si>
    <t xml:space="preserve">  - IT depreciation rates for BESS-specific Plant &amp; Machinery and Civil Works blocks, with your tax team (rates used here are standard assumptions, not confirmed for this asset class specifically).</t>
  </si>
  <si>
    <t xml:space="preserve">  - Your actual EPC contract includes a back-to-back LD/performance-guarantee clause matching the LD Risk Calculator's Total/Max exposure figures.</t>
  </si>
  <si>
    <t xml:space="preserve">  - Your actual VGF scheme's rate, cap, and disbursement timing/tranching match the Assumptions tab (Tranche II terms used here may differ from your specific tender).</t>
  </si>
  <si>
    <t xml:space="preserve">  - Your lender's specific covenant definitions (EBITDA, DSCR, permitted indebtedness) against the memo lines provided, before relying on this for a term sheet.</t>
  </si>
  <si>
    <t>Formulas across the model use NAMED CELLS (e.g. Rated_MW, Bid_Price) instead of cell addresses, so they read like sentences. Full logic chain below.</t>
  </si>
  <si>
    <t>CAPEX &amp; FUNDING</t>
  </si>
  <si>
    <t>Base Capex</t>
  </si>
  <si>
    <t>Rated_MW x Capex_per_MW  +  Rated_MWh x Capex_per_MWh</t>
  </si>
  <si>
    <t>Capex excl. GST</t>
  </si>
  <si>
    <t>Base Capex x (1 + Contingency% + IDC%)</t>
  </si>
  <si>
    <t>Capex excl. GST + 18% GST</t>
  </si>
  <si>
    <t>Debt / Equity</t>
  </si>
  <si>
    <t>Total Project Cost x Debt_Share; Equity = the rest. Check row confirms Debt + Equity = Total Project Cost on Day 0.</t>
  </si>
  <si>
    <t>VGF Amount</t>
  </si>
  <si>
    <t>LOWER of: VGF_Rate x Rated_MWh, or VGF_Cap% x Capex excl. GST. Received in 3 equal tranches in Years 2-4, each prepaying the term loan.</t>
  </si>
  <si>
    <t>DEGRADATION &amp; AUGMENTATION</t>
  </si>
  <si>
    <t>Fade rate each year</t>
  </si>
  <si>
    <t>Stage 1 rate in Year 1, Stage 2 rate through the Stage-2 end year, Stage 3 (steady-state) after — and always Stage 3 after the first augmentation.</t>
  </si>
  <si>
    <t>Fade factor</t>
  </si>
  <si>
    <t>Previous year's factor x (1 - this year's fade rate). Resets to 100% in an augmentation year.</t>
  </si>
  <si>
    <t>Augmentation trigger</t>
  </si>
  <si>
    <t>Dynamic: fires whenever Capacity Before Augmentation would fall below your Tender Minimum MWh for that year (dummy schedule — replace with your actual OEM/tender-guaranteed figures on the Degradation-Augmentation tab), not a fixed cycle.</t>
  </si>
  <si>
    <t>Augmentation capex</t>
  </si>
  <si>
    <t>Rated_MWh x Capex_per_MWh x Aug_Cost% — deducted from equity cash flow the year it occurs.</t>
  </si>
  <si>
    <t>LD Risk Calculator</t>
  </si>
  <si>
    <t>Stress the fade rates by LD_Stress%; shortfall vs committed curve x Bid_Price x LD_Multiplier = LD payable. Sizing tool for the EPC back-to-back guarantee only; NOT in DSCR/IRR.</t>
  </si>
  <si>
    <t>REVENUE</t>
  </si>
  <si>
    <t>Capacity Revenue</t>
  </si>
  <si>
    <t>Rated_MW x Bid_Price — FULL fixed payment every year. No availability haircut (98% is the commitment standard; missing it triggers LD, not a discount).</t>
  </si>
  <si>
    <t>Energy Revenue</t>
  </si>
  <si>
    <t>Optional: MWh discharged x Energy_Charge. Zero unless you set an energy charge.</t>
  </si>
  <si>
    <t>Salvage Value</t>
  </si>
  <si>
    <t>Year 15 only: Battery+PCS original capex x Salvage% (second-life resale).</t>
  </si>
  <si>
    <t>DEPRECIATION (three separate schedules)</t>
  </si>
  <si>
    <t>IT Block 1 - P&amp;M (WDV)</t>
  </si>
  <si>
    <t>Battery+PCS+BOP + each augmentation. Charge = (Opening WDV + Additions) x Dep_Rate_PM. Drives cash tax.</t>
  </si>
  <si>
    <t>IT Block 2 - Civil (WDV)</t>
  </si>
  <si>
    <t>Civil works + its blocked GST. Charge = (Opening WDV + Additions) x Dep_Rate_Civil. Drives cash tax.</t>
  </si>
  <si>
    <t>Companies Act Book (SLM)</t>
  </si>
  <si>
    <t>Each addition spread evenly over Book_Life years, stopping at 95% of cost (Schedule II). Feeds Balance Sheet only — cancels out of all cash flows.</t>
  </si>
  <si>
    <t>Sec 50 on salvage</t>
  </si>
  <si>
    <t>Salvage proceeds vs P&amp;M block WDV at Year 15: excess = taxable gain at normal corporate rate; shortfall = extra terminal depreciation deduction.</t>
  </si>
  <si>
    <t>DEBT SCHEDULE</t>
  </si>
  <si>
    <t>Interest</t>
  </si>
  <si>
    <t>Opening balance x Interest_Rate.</t>
  </si>
  <si>
    <t>Scheduled principal</t>
  </si>
  <si>
    <t>Debt_Amount / (Tenor - Moratorium), starting after the moratorium, capped at what's outstanding.</t>
  </si>
  <si>
    <t>VGF prepayment</t>
  </si>
  <si>
    <t>VGF_Amount / 3 in each of Years 2-4, capped at the balance remaining after scheduled principal.</t>
  </si>
  <si>
    <t>Debt service for DSCR</t>
  </si>
  <si>
    <t>Interest + scheduled principal ONLY (VGF prepayment excluded — it's a subsidy sweep, not operating-funded debt service).</t>
  </si>
  <si>
    <t>P&amp;L (Book vs Taxable)</t>
  </si>
  <si>
    <t>EBITDA</t>
  </si>
  <si>
    <t>Capacity + Energy Revenue - Opex. (Memo line shows EBITDA + VGF grant income, for lender covenants that define it that way.)</t>
  </si>
  <si>
    <t>Grant income</t>
  </si>
  <si>
    <t>VGF_Amount / Project_Life each year (Ind AS 20 deferred-income amortisation). Non-cash; excluded from CFADS.</t>
  </si>
  <si>
    <t>Book PBT</t>
  </si>
  <si>
    <t>EBITDA - Book depreciation + Grant income - Interest. Feeds Balance Sheet reserves.</t>
  </si>
  <si>
    <t>Taxable PBT</t>
  </si>
  <si>
    <t>EBITDA - Tax depreciation (both IT blocks) + Grant income - Interest + Sec 50 effect. Drives the actual cash tax.</t>
  </si>
  <si>
    <t>Tax</t>
  </si>
  <si>
    <t>MAX(0, Taxable PBT) x Tax_Rate — no tax refund in loss years (loss carry-forward not modelled; conservative).</t>
  </si>
  <si>
    <t>Book PAT</t>
  </si>
  <si>
    <t>Book PBT - the actual cash tax.</t>
  </si>
  <si>
    <t>CASH FLOW &amp; RETURNS</t>
  </si>
  <si>
    <t>CFADS</t>
  </si>
  <si>
    <t>Book PAT + Book depreciation + Interest - Grant income. (Book depreciation cancels out mathematically — CFADS is really EBITDA minus cash tax.)</t>
  </si>
  <si>
    <t>DSCR per year</t>
  </si>
  <si>
    <t>CFADS / Debt service. Min and Average shown; LLCR = PV of CFADS over the loan life / initial debt.</t>
  </si>
  <si>
    <t>FCFE</t>
  </si>
  <si>
    <t>CFADS - Debt service - Augmentation capex. Year 0 = minus the full Equity_Amount.</t>
  </si>
  <si>
    <t>Equity IRR / Payback</t>
  </si>
  <si>
    <t>IRR and cumulative-crossover of the FCFE stream.</t>
  </si>
  <si>
    <t>Project IRR</t>
  </si>
  <si>
    <t>Unlevered: EBITDA - unlevered tax - augmentation, against Year-0 outflow of (Total Project Cost - VGF) so the VGF benefit isn't double-counted.</t>
  </si>
  <si>
    <t>BALANCE SHEET</t>
  </si>
  <si>
    <t>The tie-out</t>
  </si>
  <si>
    <t>Assets (Net fixed assets at BOOK value + ITC receivable + VGF receivable) = Term loan + Deferred VGF grant + Share capital + Reserves. Check row must read 0 every year.</t>
  </si>
  <si>
    <t>ITC utilisation</t>
  </si>
  <si>
    <t>Capex ITC pool offsets output GST on revenue each year until exhausted (~Year 4); after that, GST is remitted in cash (pure pass-through).</t>
  </si>
  <si>
    <t>Dividend sweep</t>
  </si>
  <si>
    <t>All free cash (FCFE + ITC offset + any unused VGF) distributed each year — this is what holds Cash at zero and makes the sheet self-balancing.</t>
  </si>
  <si>
    <t>HOW TO READ ANY FORMULA</t>
  </si>
  <si>
    <t>Step 1</t>
  </si>
  <si>
    <t>Click the cell — named references (Bid_Price, Debt_Share...) tell you what it uses without leaving the cell.</t>
  </si>
  <si>
    <t>Step 2</t>
  </si>
  <si>
    <t>Hover cells with a red corner marker — comments explain WHY the treatment was chosen, not just what it computes.</t>
  </si>
  <si>
    <t>Step 3</t>
  </si>
  <si>
    <t>Excel: Formulas &gt; Name Manager lists every named cell and where it lives.</t>
  </si>
  <si>
    <t>BID DECISION DASHBOARD</t>
  </si>
  <si>
    <t>Project Size</t>
  </si>
  <si>
    <t>BID SUMMARY</t>
  </si>
  <si>
    <t>Project IRR (unlevered)</t>
  </si>
  <si>
    <t>Equity IRR</t>
  </si>
  <si>
    <t>Minimum DSCR</t>
  </si>
  <si>
    <t>Average DSCR</t>
  </si>
  <si>
    <t>LLCR (Loan Life Coverage Ratio)</t>
  </si>
  <si>
    <t>Equity Payback Period</t>
  </si>
  <si>
    <t>Project Payback Period</t>
  </si>
  <si>
    <t>VGF Utilized (₹ Million)</t>
  </si>
  <si>
    <t>Total CAPEX, incl. GST (₹ Million)</t>
  </si>
  <si>
    <t>Equity Requirement (₹ Million)</t>
  </si>
  <si>
    <t>Debt Requirement (₹ Million)</t>
  </si>
  <si>
    <t>LD RISK EXPOSURE — EPC performance guarantee sizing (assumed passed through, not an SPV risk)</t>
  </si>
  <si>
    <t>Total LD Exposure Over Project Life (₹ Million)</t>
  </si>
  <si>
    <t>Max Single-Year LD (₹ Million)</t>
  </si>
  <si>
    <t>SENSITIVITY BUFFER: ± 5% ON BID PRICE</t>
  </si>
  <si>
    <t>Scenario</t>
  </si>
  <si>
    <t>Min DSCR</t>
  </si>
  <si>
    <t>Status</t>
  </si>
  <si>
    <t>Bid Price − 5%</t>
  </si>
  <si>
    <t>Bid Price + 5%</t>
  </si>
  <si>
    <t>DECISION CHECKS</t>
  </si>
  <si>
    <t>Metric</t>
  </si>
  <si>
    <t>Result</t>
  </si>
  <si>
    <t>Requirement</t>
  </si>
  <si>
    <t>Minimum DSCR (across operating years)</t>
  </si>
  <si>
    <t>GOAL SEEK GUIDANCE</t>
  </si>
  <si>
    <t>The DSCR and Equity IRR checks must both show PASS — these are what set the minimum bid price. Project IRR is shown for reference (it's the return before financing structure) and should generally track PASS alongside the other two, since it moves in the same direction as Equity IRR when you change the bid price — but it isn't a separate Goal Seek target.</t>
  </si>
  <si>
    <t>Use Excel: Data &gt; What-If Analysis &gt; Goal Seek</t>
  </si>
  <si>
    <t xml:space="preserve">  Run 1 — Set cell: B34   To value: (paste the DSCR floor shown in C34)   By changing cell: Assumptions!$C$77</t>
  </si>
  <si>
    <t xml:space="preserve">  Run 2 — Set cell: B35   To value: (paste the IRR hurdle shown in C35)   By changing cell: Assumptions!$C$77</t>
  </si>
  <si>
    <t>Your minimum bid price = the HIGHER capacity charge produced by the two runs.</t>
  </si>
  <si>
    <t>Quoting below that number breaches either the lender's DSCR floor or your own equity return hurdle.</t>
  </si>
  <si>
    <t>KEY DRIVERS AT A GLANCE</t>
  </si>
  <si>
    <t>Total Project Cost, incl. GST (₹ Million)</t>
  </si>
  <si>
    <t>Debt Amount (₹ Million)</t>
  </si>
  <si>
    <t>Equity Amount (₹ Million)</t>
  </si>
  <si>
    <t>Capacity Fade — Yr1 / Yr2-4 / Steady-State</t>
  </si>
  <si>
    <t>Total Augmentation Events Modeled</t>
  </si>
  <si>
    <t>Total Augmentation Capex Over Project Life (₹ Million)</t>
  </si>
  <si>
    <t>INDUSTRY BENCHMARK REFERENCE (India, 2025-26)</t>
  </si>
  <si>
    <t>Parameter</t>
  </si>
  <si>
    <t>This Model</t>
  </si>
  <si>
    <t>Typical Industry Range</t>
  </si>
  <si>
    <t>Source</t>
  </si>
  <si>
    <t>Equity IRR Hurdle</t>
  </si>
  <si>
    <t>15% - 20%</t>
  </si>
  <si>
    <t>JMK Research/IEEFA, May 2026 — standalone BESS lender expectations</t>
  </si>
  <si>
    <t>Minimum DSCR Floor</t>
  </si>
  <si>
    <t>1.30x - 1.40x</t>
  </si>
  <si>
    <t>Higher than solar/wind's 1.20x-1.25x; reflects augmentation &amp; technology risk</t>
  </si>
  <si>
    <t>All-in Capex (₹ Million/MWh equiv.)</t>
  </si>
  <si>
    <t>₹9.0-13.0 (4-hr); ₹14.0-16.5 (2-hr)</t>
  </si>
  <si>
    <t>VGF Tranche II implied capex + IEEFA $115/kWh; 2-hr systems run higher Rs/MWh since BOP cost doesn't shrink with duration</t>
  </si>
  <si>
    <t>70% - 75% debt</t>
  </si>
  <si>
    <t>Typical Indian PSU/SBI-style renewable infra financing</t>
  </si>
  <si>
    <t>O&amp;M, % of Capex/year</t>
  </si>
  <si>
    <t>~1.5% p.a.</t>
  </si>
  <si>
    <t>IEEFA standalone BESS viability benchmark model</t>
  </si>
  <si>
    <t>Contract Tenor (years)</t>
  </si>
  <si>
    <t>12 years most common (57% of 2025 allocations)</t>
  </si>
  <si>
    <t>JMK Research/IEEFA, May 2026</t>
  </si>
  <si>
    <t>Real-world reference tariffs: Kilokari BESS, Delhi (20MW, 70% concessional GEAPP financing) cleared at Rs5.76 Million/MW/year vs prior DERC benchmark of Rs13.0 Million/MW/year (May 2024). UPPCL 375MW/1500MWh (4-hr) awarded Rs6.45-6.46/kWh energy-basis, Nov 2025.</t>
  </si>
  <si>
    <t>MODEL INTEGRITY CHECKS — re-verify after changing any assumption</t>
  </si>
  <si>
    <t>Check</t>
  </si>
  <si>
    <t>Model horizon (fixed at 15 operating years)</t>
  </si>
  <si>
    <t>Debt tenor vs. model horizon</t>
  </si>
  <si>
    <t>Moratorium vs. debt tenor</t>
  </si>
  <si>
    <t>Tender Minimum MWh never exceeds Rated MWh</t>
  </si>
  <si>
    <t>Balance Sheet ties out (Assets = Liabilities + Equity)</t>
  </si>
  <si>
    <t xml:space="preserve">  -&gt; Status</t>
  </si>
  <si>
    <t>ASSUMPTIONS</t>
  </si>
  <si>
    <t>Enter Project Name Here</t>
  </si>
  <si>
    <t>PROJECT SIZING</t>
  </si>
  <si>
    <t>Rated Power</t>
  </si>
  <si>
    <t>MW</t>
  </si>
  <si>
    <t>Rated Energy</t>
  </si>
  <si>
    <t>MWh</t>
  </si>
  <si>
    <t>Duration (derived)</t>
  </si>
  <si>
    <t>hrs</t>
  </si>
  <si>
    <t>CAPEX ASSUMPTIONS</t>
  </si>
  <si>
    <t>Capex — Battery + PCS</t>
  </si>
  <si>
    <t>₹ Million/MWh</t>
  </si>
  <si>
    <t>Capex — BOP + Grid connectivity</t>
  </si>
  <si>
    <t>₹ Million/MW</t>
  </si>
  <si>
    <t>Base Project Capex (derived)</t>
  </si>
  <si>
    <t>₹ Million</t>
  </si>
  <si>
    <t>Contingency</t>
  </si>
  <si>
    <t>%</t>
  </si>
  <si>
    <t>IDC &amp; Financing Cost</t>
  </si>
  <si>
    <t>Total Project Capex, excl. GST (derived)</t>
  </si>
  <si>
    <t>GST Rate on Capex (HSN 998631)</t>
  </si>
  <si>
    <t>GST Amount on Capex (derived)</t>
  </si>
  <si>
    <t>Total Project Cost, incl. GST (derived)</t>
  </si>
  <si>
    <t>GST INPUT TAX CREDIT (ITC) TREATMENT</t>
  </si>
  <si>
    <t>Civil Works, % of Total Capex (excl. GST)</t>
  </si>
  <si>
    <t>Civil Works Base Capex (derived)</t>
  </si>
  <si>
    <t>Plant &amp; Machinery Base Capex (derived)</t>
  </si>
  <si>
    <t>GST on Civil Works — BLOCKED, capitalised (derived)</t>
  </si>
  <si>
    <t>GST on Plant &amp; Machinery — RECOVERABLE (ITC) (derived)</t>
  </si>
  <si>
    <t>Fixed Asset Block for Depreciation (derived)</t>
  </si>
  <si>
    <t>ITC Receivable Pool, Opening (derived)</t>
  </si>
  <si>
    <t>VIABILITY GAP FUNDING (VGF)</t>
  </si>
  <si>
    <t>VGF Support Rate</t>
  </si>
  <si>
    <t>VGF Cap, % of Base Capex (excl. GST)</t>
  </si>
  <si>
    <t>VGF Utilized (derived)</t>
  </si>
  <si>
    <t>MEANS OF FINANCE</t>
  </si>
  <si>
    <t>Debt % of Total Project Cost (incl. GST)</t>
  </si>
  <si>
    <t>Debt Amount (derived)</t>
  </si>
  <si>
    <t>Equity Amount (derived)</t>
  </si>
  <si>
    <t>Check: Debt + Equity = Total Project Cost (Day 0)</t>
  </si>
  <si>
    <t>Interest Rate on Debt</t>
  </si>
  <si>
    <t>Debt Tenor (door-to-door)</t>
  </si>
  <si>
    <t>years</t>
  </si>
  <si>
    <t>Moratorium</t>
  </si>
  <si>
    <t>OPERATING ASSUMPTIONS</t>
  </si>
  <si>
    <t>Project / PPA Life</t>
  </si>
  <si>
    <t>Round-Trip Efficiency (RTE)</t>
  </si>
  <si>
    <t>Cycles per Day</t>
  </si>
  <si>
    <t>#</t>
  </si>
  <si>
    <t>Availability Guarantee (physical energy throughput)</t>
  </si>
  <si>
    <t>Capacity Availability (multiplies Capacity Revenue)</t>
  </si>
  <si>
    <t>DEGRADATION &amp; AUGMENTATION (LFP)</t>
  </si>
  <si>
    <t>Capacity Fade Curve — see 'Degradation Curve' tab</t>
  </si>
  <si>
    <t>3-stage curve ►</t>
  </si>
  <si>
    <t>Augmentation Cost, % of original ₹/MWh capex</t>
  </si>
  <si>
    <t>LD RISK CALCULATOR (EPC performance guarantee sizing — not a project-level risk)</t>
  </si>
  <si>
    <t>LD Multiplier, x Capacity Charge on shortfall</t>
  </si>
  <si>
    <t>x</t>
  </si>
  <si>
    <t>Stress Test — Actual Degradation, % Worse Than Committed</t>
  </si>
  <si>
    <t>OPEX ASSUMPTIONS</t>
  </si>
  <si>
    <t>Fixed O&amp;M Cost</t>
  </si>
  <si>
    <t>₹ Million/MW/year</t>
  </si>
  <si>
    <t>O&amp;M Escalation</t>
  </si>
  <si>
    <t>%/year</t>
  </si>
  <si>
    <t>Insurance, % of Capex</t>
  </si>
  <si>
    <t>TAX &amp; DEPRECIATION</t>
  </si>
  <si>
    <t>Corporate Tax Rate (incl. surcharge &amp; cess)</t>
  </si>
  <si>
    <t>INCOME TAX DEPRECIATION — separate blocks (drives actual cash tax)</t>
  </si>
  <si>
    <t>IT Block 1 — Plant &amp; Machinery Rate, WDV</t>
  </si>
  <si>
    <t>IT Block 2 — Civil Works / Buildings Rate, WDV</t>
  </si>
  <si>
    <t>COMPANIES ACT DEPRECIATION — separate book schedule (Schedule II)</t>
  </si>
  <si>
    <t>Useful Life for Book Depreciation</t>
  </si>
  <si>
    <t>Max Residual Value (Schedule II ceiling)</t>
  </si>
  <si>
    <t>% of cost</t>
  </si>
  <si>
    <t>REVENUE — BID PRICE</t>
  </si>
  <si>
    <t>CAPACITY CHARGE — THE BID PRICE</t>
  </si>
  <si>
    <t>₹ Million/MW/yr</t>
  </si>
  <si>
    <t>Energy Charge (optional, hybrid contracts)</t>
  </si>
  <si>
    <t>₹/kWh</t>
  </si>
  <si>
    <t>PROJECT IRR MEMO ONLY — not part of the funding structure above</t>
  </si>
  <si>
    <t>Net Funding Requirement, post-VGF (memo)</t>
  </si>
  <si>
    <t>TERMINAL / SALVAGE VALUE (Year 15)</t>
  </si>
  <si>
    <t>Salvage Value, % of Battery+PCS Original Capex</t>
  </si>
  <si>
    <t>DECISION TARGETS</t>
  </si>
  <si>
    <t>Minimum DSCR Floor (Lender Requirement)</t>
  </si>
  <si>
    <t>Target Equity IRR Hurdle</t>
  </si>
  <si>
    <t>Target Project IRR (unlevered)</t>
  </si>
  <si>
    <t>CAPACITY FADE CURVE (3-STAGE, LFP)</t>
  </si>
  <si>
    <t>Front-loaded fade (SEI formation in Year 1) tapering to a steady-state linear rate — consistent with published LFP grid-storage behavior (Energy-Storage.News; second-life LFP techno-economic studies show ~8% Y1 drop tapering to 2.6%-1.5%/yr; an operational Italian utility BESS measured ~1.37%/yr average over its first 3 years). A flat average rate understates early-year fade — exactly when DSCR is tightest — so this curve is used instead of a single number.</t>
  </si>
  <si>
    <t>Stage 1 — Year 1 Fade Rate</t>
  </si>
  <si>
    <t>Stage 2 — Fade Rate</t>
  </si>
  <si>
    <t>Stage 2 — Applies Through Year</t>
  </si>
  <si>
    <t>year</t>
  </si>
  <si>
    <t>Stage 3 — Steady-State Fade Rate (from Year after Stage 2, onward)</t>
  </si>
  <si>
    <t>RESULTING YEAR-BY-YEAR FADE RATE (pre-first-augmentation)</t>
  </si>
  <si>
    <t>Year 1</t>
  </si>
  <si>
    <t>Year 2</t>
  </si>
  <si>
    <t>Year 3</t>
  </si>
  <si>
    <t>Year 4</t>
  </si>
  <si>
    <t>Year 5</t>
  </si>
  <si>
    <t>Year 6</t>
  </si>
  <si>
    <t>Year 7</t>
  </si>
  <si>
    <t>Year 8</t>
  </si>
  <si>
    <t>Illustrative only — the live year-by-year application (with augmentation resets) is on the Degradation-Augmentation tab.</t>
  </si>
  <si>
    <t>DEGRADATION &amp; AUGMENTATION SCHEDULE (LFP)</t>
  </si>
  <si>
    <t>DUMMY figures below for Tender Minimum Dispatchable (MW) and Tender Minimum MWh — replace with the actual guaranteed schedule from your OEM/tender document. Augmentation now triggers dynamically whenever available capacity would fall below YOUR tender minimum for that year (not a fixed cycle), and augmentation cost scales with the actual MWh shortfall restored (not a flat lump sum).</t>
  </si>
  <si>
    <t>Contract Year</t>
  </si>
  <si>
    <t>COD</t>
  </si>
  <si>
    <t>Tender Minimum Dispatchable (MW) — DUMMY, edit per OEM/tender</t>
  </si>
  <si>
    <t>Tender Minimum MWh — DUMMY, edit per OEM/tender</t>
  </si>
  <si>
    <t>Opening Available Capacity (MWh)</t>
  </si>
  <si>
    <t>Ever Augmented Before This Year (1/0)</t>
  </si>
  <si>
    <t>Natural Degradation Rate (from Degradation Curve)</t>
  </si>
  <si>
    <t>Natural Degradation (MWh)</t>
  </si>
  <si>
    <t>Capacity Before Augmentation (MWh)</t>
  </si>
  <si>
    <t>Augmentation Required (1=Yes, 0=No)</t>
  </si>
  <si>
    <t>Augmentation Amount, MWh Restored</t>
  </si>
  <si>
    <t>Closing Available Capacity (MWh)</t>
  </si>
  <si>
    <t>Augmentation Cost per MWh (₹ Million/MWh)</t>
  </si>
  <si>
    <t>Augmentation Cash Outflow (₹ Million)</t>
  </si>
  <si>
    <t>Cumulative Augmentation (₹ Million)</t>
  </si>
  <si>
    <t>Closing Capacity, % of Rated (derived — used elsewhere in model)</t>
  </si>
  <si>
    <t>LD RISK CALCULATOR — EPC performance guarantee sizing tool (NOT in base-case P&amp;L/DSCR/IRR)</t>
  </si>
  <si>
    <t>Compares your COMMITTED curve above against a stressed 'actual underperformance' scenario. LD only applies to the shortfall vs your OWN commitment, per standard BESPA clause (2x Capacity Charge). Assumes augmentation still happens on the same tender-benchmarked trigger. INTENDED USE: this performance risk is assumed passed through to the EPC contractor via a back-to-back liability/performance guarantee clause, not borne by the SPV directly — use the Total/Max figures below as the minimum LD liability cap to negotiate into the EPC contract, so the EPC's exposure to you matches your exposure to the offtaker. Not wired into DSCR/IRR by design, since it is not a project-level cash flow risk once passed through.</t>
  </si>
  <si>
    <t>Stressed 'Actual' Fade Rate (committed x (1+stress%))</t>
  </si>
  <si>
    <t>Stressed Opening Capacity (MWh)</t>
  </si>
  <si>
    <t>Stressed Natural Degradation (MWh)</t>
  </si>
  <si>
    <t>Stressed Capacity Before Augmentation (MWh)</t>
  </si>
  <si>
    <t>Stressed Path — Own Augmentation Required (1/0)</t>
  </si>
  <si>
    <t>Stressed Closing Capacity, % of Rated</t>
  </si>
  <si>
    <t>Shortfall vs Committed Curve (MW-equivalent)</t>
  </si>
  <si>
    <t>LD Payable (₹ Million)</t>
  </si>
  <si>
    <t>TOTAL LD EXPOSURE OVER PROJECT LIFE (₹ Million)</t>
  </si>
  <si>
    <t>MAX SINGLE-YEAR LD (₹ Million)</t>
  </si>
  <si>
    <t>Year</t>
  </si>
  <si>
    <t>Capacity Availability Factor</t>
  </si>
  <si>
    <t>Capacity Revenue (₹ Million)</t>
  </si>
  <si>
    <t>Energy Discharged (MWh/year)</t>
  </si>
  <si>
    <t>Energy Revenue (₹ Million)</t>
  </si>
  <si>
    <t>Salvage Value, Year 15 Only (₹ Million)</t>
  </si>
  <si>
    <t>Total Revenue (₹ Million)</t>
  </si>
  <si>
    <t>OPEX</t>
  </si>
  <si>
    <t>Fixed O&amp;M (escalated) (₹ Million)</t>
  </si>
  <si>
    <t>Insurance (₹ Million)</t>
  </si>
  <si>
    <t>Total Opex (₹ Million)</t>
  </si>
  <si>
    <t>DEPRECIATION — Income Tax Blocks (separate) + Companies Act Book (separate)</t>
  </si>
  <si>
    <t>IT BLOCK 1 — PLANT &amp; MACHINERY (Battery+PCS+BOP+Augmentation)</t>
  </si>
  <si>
    <t>Additions to P&amp;M Block (₹ Million)</t>
  </si>
  <si>
    <t>Opening WDV — P&amp;M (₹ Million)</t>
  </si>
  <si>
    <t>Depreciation Charge — P&amp;M (₹ Million)</t>
  </si>
  <si>
    <t>Closing WDV — P&amp;M (₹ Million)</t>
  </si>
  <si>
    <t>IT BLOCK 2 — CIVIL WORKS / BUILDINGS (no further additions)</t>
  </si>
  <si>
    <t>Additions to Civil Block (₹ Million)</t>
  </si>
  <si>
    <t>Opening WDV — Civil (₹ Million)</t>
  </si>
  <si>
    <t>Depreciation Charge — Civil (₹ Million)</t>
  </si>
  <si>
    <t>Closing WDV — Civil (₹ Million)</t>
  </si>
  <si>
    <t>TOTAL TAX DEPRECIATION, P&amp;M + Civil (₹ Million)</t>
  </si>
  <si>
    <t>SEC 50 CAPITAL GAINS ON SALVAGE (Year 15 — vs IT P&amp;M block WDV)</t>
  </si>
  <si>
    <t>Compares Battery salvage proceeds against the IT P&amp;M block's closing WDV (which pools Battery+PCS+BOP+augmentation together). Excess proceeds = deemed STCG under Sec 50, taxed at the standard corporate rate — NOT a concessional capital-gains rate (Sec 50 gains for companies get no such concession). A shortfall becomes a terminal depreciation deduction instead.</t>
  </si>
  <si>
    <t>Sec 50 Gain — Proceeds over P&amp;M WDV (₹ Million)</t>
  </si>
  <si>
    <t>Terminal Depreciation — WDV over Proceeds (₹ Million)</t>
  </si>
  <si>
    <t>COMPANIES ACT BOOK DEPRECIATION — SLM, Schedule II (separate from IT blocks above)</t>
  </si>
  <si>
    <t>Additions, Book Basis (₹ Million)</t>
  </si>
  <si>
    <t>Book Depreciation Charge, SLM (₹ Million)</t>
  </si>
  <si>
    <t>Book Value, Closing (₹ Million)</t>
  </si>
  <si>
    <t>DEBT SCHEDULE (Equal-Principal Amortisation)</t>
  </si>
  <si>
    <t>Opening Debt Balance (₹ Million)</t>
  </si>
  <si>
    <t>Interest (₹ Million)</t>
  </si>
  <si>
    <t>Principal Repayment, Scheduled (₹ Million)</t>
  </si>
  <si>
    <t>VGF Prepayment — Years 2,3,4 only (₹ Million)</t>
  </si>
  <si>
    <t>Closing Debt Balance (₹ Million)</t>
  </si>
  <si>
    <t>Total Debt Service, for DSCR — excl. VGF prepayment (₹ Million)</t>
  </si>
  <si>
    <t>PROFIT &amp; LOSS — Book (Companies Act) vs Taxable (Income Tax)</t>
  </si>
  <si>
    <t>Total Revenue, Capacity+Energy (₹ Million)</t>
  </si>
  <si>
    <t>EBITDA (₹ Million)</t>
  </si>
  <si>
    <t>Grant Income — VGF Amortization (₹ Million)</t>
  </si>
  <si>
    <t>Memo: EBITDA incl. Grant Income — lender-covenant view only</t>
  </si>
  <si>
    <t>BOOK (Companies Act) — feeds Balance Sheet / Reserves</t>
  </si>
  <si>
    <t>Book Depreciation, SLM (₹ Million)</t>
  </si>
  <si>
    <t>Book PBT (₹ Million)</t>
  </si>
  <si>
    <t>TAXABLE (Income Tax) — drives actual cash tax</t>
  </si>
  <si>
    <t>Tax Depreciation, IT Blocks P&amp;M+Civil (₹ Million)</t>
  </si>
  <si>
    <t>Sec 50 Gain/(Terminal Dep.) on Salvage, Yr15 (₹ Million)</t>
  </si>
  <si>
    <t>Taxable PBT (₹ Million)</t>
  </si>
  <si>
    <t>Tax, on Taxable PBT (₹ Million)</t>
  </si>
  <si>
    <t>BOOK PAT = Book PBT − Actual Tax (₹ Million)</t>
  </si>
  <si>
    <t>YEAR 0 — CONSTRUCTION PERIOD FINANCING (12 months to COD)</t>
  </si>
  <si>
    <t>See 'Year 0 Phasing' tab for the month-by-month construction drawdown schedule.</t>
  </si>
  <si>
    <t>Capex Outflow, incl. GST (₹ Million)</t>
  </si>
  <si>
    <t>Debt Drawdown (₹ Million)</t>
  </si>
  <si>
    <t>Equity Infusion (₹ Million)</t>
  </si>
  <si>
    <t>Net Financing Cash Flow, Year 0 (should = 0)</t>
  </si>
  <si>
    <t>PAT (₹ Million)</t>
  </si>
  <si>
    <t>Add: Depreciation (₹ Million)</t>
  </si>
  <si>
    <t>Less: Augmentation Capex (₹ Million)</t>
  </si>
  <si>
    <t>CFADS for DSCR — excl. augmentation capex &amp; grant income (₹ Million)</t>
  </si>
  <si>
    <t>Less: Total Debt Service (₹ Million)</t>
  </si>
  <si>
    <t>DSCR (x)</t>
  </si>
  <si>
    <t>Output GST Liability on Revenue (₹ Million)</t>
  </si>
  <si>
    <t>ITC Pool, Closing Balance (₹ Million)</t>
  </si>
  <si>
    <t>Add: ITC Set Off Against Output GST This Year (₹ Million)</t>
  </si>
  <si>
    <t>Add: VGF Collected but Unused for Prepayment, Yrs 2-4 (₹ Million)</t>
  </si>
  <si>
    <t>Free Cash Flow to Equity (₹ Million)</t>
  </si>
  <si>
    <t>Equity Investment (Year 0 only) (₹ Million)</t>
  </si>
  <si>
    <t>Net Equity Cash Flow for IRR (₹ Million)</t>
  </si>
  <si>
    <t>PROJECT (UNLEVERED) CASH FLOW — for Project IRR</t>
  </si>
  <si>
    <t>Less: Unlevered Tax, on EBIT (₹ Million)</t>
  </si>
  <si>
    <t>Add: ITC Utilized This Year (₹ Million)</t>
  </si>
  <si>
    <t>Add: VGF Received, Yrs 2-4 (₹ Million)</t>
  </si>
  <si>
    <t>Less: Total Project Cost, Year 0 only — GROSS, VGF arrives later (₹ Million)</t>
  </si>
  <si>
    <t>Project Cash Flow (₹ Million)</t>
  </si>
  <si>
    <t>MINIMUM DSCR ACROSS OPERATING YEARS</t>
  </si>
  <si>
    <t>AVERAGE DSCR ACROSS OPERATING YEARS</t>
  </si>
  <si>
    <t>EQUITY IRR</t>
  </si>
  <si>
    <t>PROJECT IRR (unlevered)</t>
  </si>
  <si>
    <t>Cumulative Equity Cash Flow (₹ Million)</t>
  </si>
  <si>
    <t>Cumulative Project Cash Flow (₹ Million)</t>
  </si>
  <si>
    <t>EQUITY PAYBACK PERIOD (years from COD)</t>
  </si>
  <si>
    <t>PROJECT PAYBACK PERIOD (years from COD)</t>
  </si>
  <si>
    <t>YEAR 0 CONSTRUCTION PHASING — 12 months to COD</t>
  </si>
  <si>
    <t>Distributes the Year-0 Total Project Cost, Debt, and Equity (from Assumptions) across a 12-month construction period. Debt:Equity drawn pari-passu (same ratio every month) against a monthly capex phasing curve — both fully editable below. IDC is cross-checked bottom-up against the flat % assumption used elsewhere in the model.</t>
  </si>
  <si>
    <t>Month</t>
  </si>
  <si>
    <t>Total</t>
  </si>
  <si>
    <t>Capex Phasing, % of Total (input — edit freely, must sum to 100%)</t>
  </si>
  <si>
    <t>Capex Incurred This Month, incl. GST (₹ Million)</t>
  </si>
  <si>
    <t>Cumulative Capex Incurred (₹ Million)</t>
  </si>
  <si>
    <t>Debt Drawdown This Month (₹ Million)</t>
  </si>
  <si>
    <t>Cumulative Debt Drawn (₹ Million)</t>
  </si>
  <si>
    <t>Equity Infusion This Month (₹ Million)</t>
  </si>
  <si>
    <t>IDC CROSS-CHECK (bottom-up vs the flat % assumption used elsewhere)</t>
  </si>
  <si>
    <t>IDC This Month — on opening cumulative debt (₹ Million)</t>
  </si>
  <si>
    <t>Bottom-up IDC (this schedule)</t>
  </si>
  <si>
    <t>Assumed IDC (flat %, used in Assumptions Total Capex)</t>
  </si>
  <si>
    <t>Variance (bottom-up minus assumed)</t>
  </si>
  <si>
    <t>Check: Phasing sums to 100%?</t>
  </si>
  <si>
    <t>ASSETS</t>
  </si>
  <si>
    <t>Net Fixed Assets (₹ Million)</t>
  </si>
  <si>
    <t>ITC Receivable, Closing Balance (₹ Million)</t>
  </si>
  <si>
    <t>VGF Receivable, Closing Balance (₹ Million)</t>
  </si>
  <si>
    <t>Cash &amp; Bank (₹ Million)</t>
  </si>
  <si>
    <t>TOTAL ASSETS (₹ Million)</t>
  </si>
  <si>
    <t>LIABILITIES &amp; EQUITY</t>
  </si>
  <si>
    <t>Term Loan (₹ Million)</t>
  </si>
  <si>
    <t>Deferred Government Grant — VGF (₹ Million)</t>
  </si>
  <si>
    <t>Share Capital (₹ Million)</t>
  </si>
  <si>
    <t>Reserves &amp; Surplus (₹ Million)</t>
  </si>
  <si>
    <t>TOTAL LIABILITIES &amp; EQUITY (₹ Million)</t>
  </si>
  <si>
    <t>BALANCE CHECK (Assets − Liab.&amp;Equity, must = 0)</t>
  </si>
  <si>
    <t>GST ITC UTILIZATION (supporting schedule)</t>
  </si>
  <si>
    <t>ITC Utilized This Year, offsetting Output GST (₹ Million)</t>
  </si>
  <si>
    <t>Net GST Remitted to Government, Cash (₹ Million)</t>
  </si>
  <si>
    <t>Dividend / Equity Sweep, Memo (₹ Million)</t>
  </si>
  <si>
    <t>SENSITIVITY — BID PRICE ± 5%</t>
  </si>
  <si>
    <t>Opex, Depreciation, and Debt Service are unaffected by the bid price — only Revenue, Tax, PAT, CFADS, DSCR and FCFE are recomputed below.</t>
  </si>
  <si>
    <t>BID -5%</t>
  </si>
  <si>
    <t>Book Depreciation (₹ Million)</t>
  </si>
  <si>
    <t>Book PBT, incl. Grant Income (₹ Million)</t>
  </si>
  <si>
    <t>Tax Depreciation (₹ Million)</t>
  </si>
  <si>
    <t>Sec 50 Gain/(Terminal Dep.), Yr15 (₹ Million)</t>
  </si>
  <si>
    <t>Tax (₹ Million)</t>
  </si>
  <si>
    <t>Book PAT (₹ Million)</t>
  </si>
  <si>
    <t>CFADS (₹ Million)</t>
  </si>
  <si>
    <t>Output GST Liability (₹ Million)</t>
  </si>
  <si>
    <t>ITC Utilized This Year (₹ Million)</t>
  </si>
  <si>
    <t>FCFE / Equity Cash Flow (₹ Million)</t>
  </si>
  <si>
    <t>MINIMUM DSCR</t>
  </si>
  <si>
    <t>BID +5%</t>
  </si>
  <si>
    <t>Bid Evaluation Model Excel</t>
  </si>
  <si>
    <t>⚡ BESS BID-DECISION FINANCIAL MODEL   |  xxxxxxxxxxxxxx  Instructions</t>
  </si>
  <si>
    <t xml:space="preserve">FORMULA GUIDE </t>
  </si>
  <si>
    <t>⚡ BESS BID-DECISION FINANCIAL MODEL   |   xxxx MW / xxx MWh  (2-hr, 2-cycle)   |   Dashboard</t>
  </si>
  <si>
    <t>⚡ BESS BID-DECISION FINANCIAL MODEL   |   xxx MW / xx MWh  (2-hr, 2-cycle)   |   Sensitivity</t>
  </si>
  <si>
    <t>⚡ BESS BID-DECISION FINANCIAL MODEL   |   xxx MW / xx MWh  (2-hr, 2-cycle)   |   Balance Sheet</t>
  </si>
  <si>
    <t>⚡ BESS BID-DECISION FINANCIAL MODEL   |   xxx MW / xx MWh  (2-hr, 2-cycle)   |   Year 0 Phasing</t>
  </si>
  <si>
    <t>⚡ BESS BID-DECISION FINANCIAL MODEL   |   xxx MW / xx MWh  (2-hr, 2-cycle)   |   Cash Flow</t>
  </si>
  <si>
    <t>⚡ BESS BID-DECISION FINANCIAL MODEL   |   xxx MW / xx MWh  (2-hr, 2-cycle)   |   P&amp;L</t>
  </si>
  <si>
    <t>⚡ BESS BID-DECISION FINANCIAL MODEL   |   xxx MW / xxx MWh  (2-hr, 2-cycle)   |   Debt Schedule</t>
  </si>
  <si>
    <t>⚡ BESS BID-DECISION FINANCIAL MODEL   |   xxxx MW / xxx  MWh  (2-hr, 2-cycle)   |   Depreciation</t>
  </si>
  <si>
    <t>⚡ BESS BID-DECISION FINANCIAL MODEL   |   xxxx MW / xx  MWh  (2-hr, 2-cycle)   |   Opex</t>
  </si>
  <si>
    <t>⚡ BESS BID-DECISION FINANCIAL MODEL   |  xxx MW / xxx MWh  (2-hr, 2-cycle)   |   Revenue</t>
  </si>
  <si>
    <t>⚡ BESS BID-DECISION FINANCIAL MODEL   |   xxxx MW / xxx MWh  (2-hr, 2-cycle)   |   Degradation-Augmentation</t>
  </si>
  <si>
    <t>⚡ BESS BID-DECISION FINANCIAL MODEL   |   xxxx MW / xxx MWh  (2-hr, 2-cycle)   |   Degradation Curve</t>
  </si>
  <si>
    <t>⚡ BESS BID-DECISION FINANCIAL MODEL   |   xxxx MW / xxx MWh  (2-hr, 2-cycle)   |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</si>
</sst>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 &quot;#,##0&quot; /MW/month&quot;"/>
    <numFmt numFmtId="165" formatCode="\₹#,##0.00&quot; Million/MW/yr&quot;"/>
    <numFmt numFmtId="166" formatCode="0.0%"/>
    <numFmt numFmtId="167" formatCode="0.00\x"/>
    <numFmt numFmtId="168" formatCode="0.00&quot; yrs&quot;"/>
    <numFmt numFmtId="169" formatCode="#,##0;\(#,##0\);\-"/>
    <numFmt numFmtId="170" formatCode="#,##0.00;\(#,##0.00\);\-"/>
    <numFmt numFmtId="171" formatCode="0.00%;\(0.00%\);\-"/>
    <numFmt numFmtId="172" formatCode="#,##0.0"/>
    <numFmt numFmtId="173" formatCode="0.0000"/>
  </numFmts>
  <fonts count="26" x14ac:knownFonts="1">
    <font>
      <sz val="11"/>
      <color theme="1"/>
      <name val="Calibri"/>
      <family val="2"/>
      <charset val="1"/>
    </font>
    <font>
      <b/>
      <sz val="20"/>
      <color rgb="FFFFFFFF"/>
      <name val="Arial"/>
      <charset val="1"/>
    </font>
    <font>
      <b/>
      <i/>
      <sz val="11"/>
      <color rgb="FFFFFFFF"/>
      <name val="Arial"/>
      <charset val="1"/>
    </font>
    <font>
      <b/>
      <sz val="26"/>
      <color rgb="FFFFFFFF"/>
      <name val="Arial"/>
      <charset val="1"/>
    </font>
    <font>
      <b/>
      <sz val="15"/>
      <color rgb="FF2E75B6"/>
      <name val="Arial"/>
      <charset val="1"/>
    </font>
    <font>
      <i/>
      <sz val="10"/>
      <color rgb="FF808080"/>
      <name val="Arial"/>
      <charset val="1"/>
    </font>
    <font>
      <sz val="11"/>
      <color rgb="FF2E75B6"/>
      <name val="Arial"/>
      <charset val="1"/>
    </font>
    <font>
      <b/>
      <sz val="11"/>
      <color rgb="FF1A1A1A"/>
      <name val="Arial"/>
      <charset val="1"/>
    </font>
    <font>
      <b/>
      <sz val="11"/>
      <color rgb="FFFFFFFF"/>
      <name val="Arial"/>
      <charset val="1"/>
    </font>
    <font>
      <i/>
      <sz val="11"/>
      <color rgb="FF808080"/>
      <name val="Arial"/>
      <charset val="1"/>
    </font>
    <font>
      <sz val="10"/>
      <name val="Arial"/>
      <charset val="1"/>
    </font>
    <font>
      <b/>
      <sz val="11"/>
      <color rgb="FF1F4E78"/>
      <name val="Arial"/>
      <charset val="1"/>
    </font>
    <font>
      <b/>
      <sz val="15"/>
      <color rgb="FF1F4E78"/>
      <name val="Arial"/>
      <charset val="1"/>
    </font>
    <font>
      <b/>
      <sz val="10"/>
      <name val="Arial"/>
      <charset val="1"/>
    </font>
    <font>
      <sz val="10"/>
      <color rgb="FF008000"/>
      <name val="Arial"/>
      <charset val="1"/>
    </font>
    <font>
      <b/>
      <sz val="12"/>
      <name val="Arial"/>
      <charset val="1"/>
    </font>
    <font>
      <i/>
      <sz val="9"/>
      <color rgb="FF808080"/>
      <name val="Arial"/>
      <charset val="1"/>
    </font>
    <font>
      <sz val="10"/>
      <color rgb="FF000000"/>
      <name val="Arial"/>
      <charset val="1"/>
    </font>
    <font>
      <sz val="9"/>
      <name val="Arial"/>
      <charset val="1"/>
    </font>
    <font>
      <i/>
      <sz val="8"/>
      <color rgb="FF808080"/>
      <name val="Arial"/>
      <charset val="1"/>
    </font>
    <font>
      <b/>
      <sz val="14"/>
      <color rgb="FF1F4E78"/>
      <name val="Arial"/>
      <charset val="1"/>
    </font>
    <font>
      <sz val="10"/>
      <color rgb="FF0000FF"/>
      <name val="Arial"/>
      <charset val="1"/>
    </font>
    <font>
      <b/>
      <sz val="11"/>
      <name val="Arial"/>
      <charset val="1"/>
    </font>
    <font>
      <sz val="10"/>
      <name val="Arial"/>
      <family val="2"/>
    </font>
    <font>
      <b/>
      <sz val="16"/>
      <color theme="0"/>
      <name val="Arial"/>
      <family val="2"/>
    </font>
    <font>
      <sz val="11"/>
      <color theme="0"/>
      <name val="Calibri"/>
      <family val="2"/>
      <charset val="1"/>
    </font>
  </fonts>
  <fills count="15">
    <fill>
      <patternFill patternType="none"/>
    </fill>
    <fill>
      <patternFill patternType="gray125"/>
    </fill>
    <fill>
      <patternFill patternType="solid">
        <fgColor rgb="FF0D1321"/>
        <bgColor rgb="FF1A1A1A"/>
      </patternFill>
    </fill>
    <fill>
      <patternFill patternType="solid">
        <fgColor rgb="FF7C3AED"/>
        <bgColor rgb="FF7030A0"/>
      </patternFill>
    </fill>
    <fill>
      <patternFill patternType="solid">
        <fgColor rgb="FF1F4E78"/>
        <bgColor rgb="FF003366"/>
      </patternFill>
    </fill>
    <fill>
      <patternFill patternType="solid">
        <fgColor rgb="FFFFFF00"/>
        <bgColor rgb="FFFFFF00"/>
      </patternFill>
    </fill>
    <fill>
      <patternFill patternType="solid">
        <fgColor rgb="FFD9E1F2"/>
        <bgColor rgb="FFD0D0D0"/>
      </patternFill>
    </fill>
    <fill>
      <patternFill patternType="solid">
        <fgColor rgb="FFF7F9FC"/>
        <bgColor rgb="FFFFFFFF"/>
      </patternFill>
    </fill>
    <fill>
      <patternFill patternType="solid">
        <fgColor rgb="FFF2F2F2"/>
        <bgColor rgb="FFF7F9FC"/>
      </patternFill>
    </fill>
    <fill>
      <patternFill patternType="solid">
        <fgColor rgb="FFC6EFCE"/>
        <bgColor rgb="FFD9E1F2"/>
      </patternFill>
    </fill>
    <fill>
      <patternFill patternType="solid">
        <fgColor theme="0"/>
        <bgColor indexed="64"/>
      </patternFill>
    </fill>
    <fill>
      <patternFill patternType="solid">
        <fgColor theme="0"/>
        <bgColor rgb="FF003366"/>
      </patternFill>
    </fill>
    <fill>
      <patternFill patternType="solid">
        <fgColor theme="0"/>
        <bgColor rgb="FFFFFF00"/>
      </patternFill>
    </fill>
    <fill>
      <patternFill patternType="solid">
        <fgColor theme="0"/>
        <bgColor rgb="FFD0D0D0"/>
      </patternFill>
    </fill>
    <fill>
      <patternFill patternType="solid">
        <fgColor theme="3" tint="-0.499984740745262"/>
        <bgColor indexed="64"/>
      </patternFill>
    </fill>
  </fills>
  <borders count="5">
    <border>
      <left/>
      <right/>
      <top/>
      <bottom/>
      <diagonal/>
    </border>
    <border>
      <left style="medium">
        <color rgb="FF2E7D32"/>
      </left>
      <right style="medium">
        <color rgb="FF2E7D32"/>
      </right>
      <top style="medium">
        <color rgb="FF2E7D32"/>
      </top>
      <bottom style="medium">
        <color rgb="FF2E7D32"/>
      </bottom>
      <diagonal/>
    </border>
    <border>
      <left/>
      <right/>
      <top/>
      <bottom style="thin">
        <color rgb="FFD0D0D0"/>
      </bottom>
      <diagonal/>
    </border>
    <border>
      <left style="thin">
        <color rgb="FFB7B7B7"/>
      </left>
      <right style="thin">
        <color rgb="FFB7B7B7"/>
      </right>
      <top style="thin">
        <color rgb="FFB7B7B7"/>
      </top>
      <bottom style="thin">
        <color rgb="FFB7B7B7"/>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99">
    <xf numFmtId="0" fontId="0" fillId="0" borderId="0" xfId="0"/>
    <xf numFmtId="0" fontId="5" fillId="0" borderId="0" xfId="0" applyFont="1"/>
    <xf numFmtId="0" fontId="6" fillId="0" borderId="0" xfId="0" applyFont="1"/>
    <xf numFmtId="0" fontId="9" fillId="0" borderId="0" xfId="0" applyFont="1"/>
    <xf numFmtId="0" fontId="10" fillId="0" borderId="0" xfId="0" applyFont="1"/>
    <xf numFmtId="0" fontId="11" fillId="0" borderId="0" xfId="0" applyFont="1"/>
    <xf numFmtId="0" fontId="8" fillId="4" borderId="0" xfId="0" applyFont="1" applyFill="1"/>
    <xf numFmtId="0" fontId="0" fillId="4" borderId="0" xfId="0" applyFill="1"/>
    <xf numFmtId="0" fontId="13" fillId="0" borderId="0" xfId="0" applyFont="1"/>
    <xf numFmtId="0" fontId="10" fillId="0" borderId="0" xfId="0" applyFont="1" applyAlignment="1">
      <alignment vertical="top" wrapText="1"/>
    </xf>
    <xf numFmtId="0" fontId="17" fillId="0" borderId="0" xfId="0" applyFont="1"/>
    <xf numFmtId="166" fontId="14" fillId="0" borderId="3" xfId="0" applyNumberFormat="1" applyFont="1" applyBorder="1"/>
    <xf numFmtId="169" fontId="14" fillId="0" borderId="3" xfId="0" applyNumberFormat="1" applyFont="1" applyBorder="1"/>
    <xf numFmtId="0" fontId="16" fillId="0" borderId="0" xfId="0" applyFont="1"/>
    <xf numFmtId="0" fontId="13" fillId="6" borderId="0" xfId="0" applyFont="1" applyFill="1"/>
    <xf numFmtId="167" fontId="17" fillId="0" borderId="3" xfId="0" applyNumberFormat="1" applyFont="1" applyBorder="1"/>
    <xf numFmtId="166" fontId="17" fillId="0" borderId="3" xfId="0" applyNumberFormat="1" applyFont="1" applyBorder="1"/>
    <xf numFmtId="0" fontId="13" fillId="0" borderId="3" xfId="0" applyFont="1" applyBorder="1"/>
    <xf numFmtId="169" fontId="17" fillId="0" borderId="3" xfId="0" applyNumberFormat="1" applyFont="1" applyBorder="1"/>
    <xf numFmtId="0" fontId="20" fillId="0" borderId="0" xfId="0" applyFont="1"/>
    <xf numFmtId="0" fontId="21" fillId="0" borderId="3" xfId="0" applyFont="1" applyBorder="1"/>
    <xf numFmtId="172" fontId="21" fillId="0" borderId="3" xfId="0" applyNumberFormat="1" applyFont="1" applyBorder="1"/>
    <xf numFmtId="0" fontId="17" fillId="7" borderId="0" xfId="0" applyFont="1" applyFill="1"/>
    <xf numFmtId="0" fontId="16" fillId="7" borderId="0" xfId="0" applyFont="1" applyFill="1"/>
    <xf numFmtId="172" fontId="21" fillId="7" borderId="3" xfId="0" applyNumberFormat="1" applyFont="1" applyFill="1" applyBorder="1"/>
    <xf numFmtId="2" fontId="17" fillId="0" borderId="3" xfId="0" applyNumberFormat="1" applyFont="1" applyBorder="1"/>
    <xf numFmtId="170" fontId="21" fillId="7" borderId="3" xfId="0" applyNumberFormat="1" applyFont="1" applyFill="1" applyBorder="1"/>
    <xf numFmtId="170" fontId="21" fillId="0" borderId="3" xfId="0" applyNumberFormat="1" applyFont="1" applyBorder="1"/>
    <xf numFmtId="169" fontId="17" fillId="7" borderId="3" xfId="0" applyNumberFormat="1" applyFont="1" applyFill="1" applyBorder="1"/>
    <xf numFmtId="166" fontId="21" fillId="0" borderId="3" xfId="0" applyNumberFormat="1" applyFont="1" applyBorder="1"/>
    <xf numFmtId="166" fontId="21" fillId="7" borderId="3" xfId="0" applyNumberFormat="1" applyFont="1" applyFill="1" applyBorder="1"/>
    <xf numFmtId="0" fontId="13" fillId="7" borderId="0" xfId="0" applyFont="1" applyFill="1"/>
    <xf numFmtId="169" fontId="13" fillId="8" borderId="3" xfId="0" applyNumberFormat="1" applyFont="1" applyFill="1" applyBorder="1"/>
    <xf numFmtId="169" fontId="13" fillId="9" borderId="3" xfId="0" applyNumberFormat="1" applyFont="1" applyFill="1" applyBorder="1"/>
    <xf numFmtId="1" fontId="21" fillId="0" borderId="3" xfId="0" applyNumberFormat="1" applyFont="1" applyBorder="1"/>
    <xf numFmtId="1" fontId="21" fillId="7" borderId="3" xfId="0" applyNumberFormat="1" applyFont="1" applyFill="1" applyBorder="1"/>
    <xf numFmtId="2" fontId="21" fillId="0" borderId="3" xfId="0" applyNumberFormat="1" applyFont="1" applyBorder="1"/>
    <xf numFmtId="0" fontId="0" fillId="7" borderId="0" xfId="0" applyFill="1"/>
    <xf numFmtId="0" fontId="5" fillId="7" borderId="3" xfId="0" applyFont="1" applyFill="1" applyBorder="1"/>
    <xf numFmtId="167" fontId="21" fillId="0" borderId="3" xfId="0" applyNumberFormat="1" applyFont="1" applyBorder="1"/>
    <xf numFmtId="171" fontId="21" fillId="0" borderId="3" xfId="0" applyNumberFormat="1" applyFont="1" applyBorder="1"/>
    <xf numFmtId="170" fontId="22" fillId="5" borderId="4" xfId="0" applyNumberFormat="1" applyFont="1" applyFill="1" applyBorder="1"/>
    <xf numFmtId="173" fontId="21" fillId="0" borderId="3" xfId="0" applyNumberFormat="1" applyFont="1" applyBorder="1"/>
    <xf numFmtId="0" fontId="13" fillId="6" borderId="3" xfId="0" applyFont="1" applyFill="1" applyBorder="1" applyAlignment="1">
      <alignment horizontal="center"/>
    </xf>
    <xf numFmtId="3" fontId="21" fillId="0" borderId="3" xfId="0" applyNumberFormat="1" applyFont="1" applyBorder="1"/>
    <xf numFmtId="172" fontId="17" fillId="0" borderId="3" xfId="0" applyNumberFormat="1" applyFont="1" applyBorder="1"/>
    <xf numFmtId="1" fontId="17" fillId="0" borderId="3" xfId="0" applyNumberFormat="1" applyFont="1" applyBorder="1"/>
    <xf numFmtId="1" fontId="13" fillId="8" borderId="3" xfId="0" applyNumberFormat="1" applyFont="1" applyFill="1" applyBorder="1"/>
    <xf numFmtId="172" fontId="13" fillId="8" borderId="3" xfId="0" applyNumberFormat="1" applyFont="1" applyFill="1" applyBorder="1"/>
    <xf numFmtId="170" fontId="17" fillId="0" borderId="3" xfId="0" applyNumberFormat="1" applyFont="1" applyBorder="1"/>
    <xf numFmtId="169" fontId="13" fillId="5" borderId="3" xfId="0" applyNumberFormat="1" applyFont="1" applyFill="1" applyBorder="1"/>
    <xf numFmtId="3" fontId="17" fillId="0" borderId="3" xfId="0" applyNumberFormat="1" applyFont="1" applyBorder="1"/>
    <xf numFmtId="0" fontId="13" fillId="8" borderId="3" xfId="0" applyFont="1" applyFill="1" applyBorder="1"/>
    <xf numFmtId="167" fontId="13" fillId="8" borderId="3" xfId="0" applyNumberFormat="1" applyFont="1" applyFill="1" applyBorder="1"/>
    <xf numFmtId="167" fontId="13" fillId="5" borderId="3" xfId="0" applyNumberFormat="1" applyFont="1" applyFill="1" applyBorder="1"/>
    <xf numFmtId="166" fontId="13" fillId="5" borderId="3" xfId="0" applyNumberFormat="1" applyFont="1" applyFill="1" applyBorder="1"/>
    <xf numFmtId="168" fontId="13" fillId="5" borderId="3" xfId="0" applyNumberFormat="1" applyFont="1" applyFill="1" applyBorder="1"/>
    <xf numFmtId="166" fontId="13" fillId="8" borderId="3" xfId="0" applyNumberFormat="1" applyFont="1" applyFill="1" applyBorder="1"/>
    <xf numFmtId="0" fontId="17" fillId="0" borderId="3" xfId="0" applyFont="1" applyBorder="1"/>
    <xf numFmtId="0" fontId="7" fillId="0" borderId="2" xfId="0" applyFont="1" applyBorder="1"/>
    <xf numFmtId="0" fontId="0" fillId="3" borderId="0" xfId="0" applyFill="1"/>
    <xf numFmtId="0" fontId="1" fillId="2" borderId="0" xfId="0" applyFont="1" applyFill="1" applyAlignment="1">
      <alignment horizontal="left" vertical="center" indent="1"/>
    </xf>
    <xf numFmtId="0" fontId="2" fillId="3" borderId="0" xfId="0" applyFont="1" applyFill="1" applyAlignment="1">
      <alignment horizontal="left" vertical="center" indent="1"/>
    </xf>
    <xf numFmtId="0" fontId="3" fillId="2" borderId="1" xfId="0" applyFont="1" applyFill="1" applyBorder="1" applyAlignment="1">
      <alignment horizontal="left" vertical="center" indent="1"/>
    </xf>
    <xf numFmtId="0" fontId="4" fillId="0" borderId="0" xfId="0" applyFont="1"/>
    <xf numFmtId="0" fontId="5" fillId="0" borderId="0" xfId="0" applyFont="1"/>
    <xf numFmtId="0" fontId="8" fillId="2" borderId="0" xfId="0" applyFont="1" applyFill="1" applyAlignment="1">
      <alignment horizontal="left" vertical="center"/>
    </xf>
    <xf numFmtId="0" fontId="12" fillId="0" borderId="0" xfId="0" applyFont="1"/>
    <xf numFmtId="0" fontId="0" fillId="10" borderId="0" xfId="0" applyFill="1"/>
    <xf numFmtId="0" fontId="9" fillId="10" borderId="0" xfId="0" applyFont="1" applyFill="1"/>
    <xf numFmtId="0" fontId="13" fillId="10" borderId="0" xfId="0" applyFont="1" applyFill="1"/>
    <xf numFmtId="0" fontId="14" fillId="10" borderId="3" xfId="0" applyFont="1" applyFill="1" applyBorder="1"/>
    <xf numFmtId="0" fontId="8" fillId="11" borderId="0" xfId="0" applyFont="1" applyFill="1"/>
    <xf numFmtId="0" fontId="0" fillId="11" borderId="0" xfId="0" applyFill="1"/>
    <xf numFmtId="0" fontId="15" fillId="10" borderId="0" xfId="0" applyFont="1" applyFill="1"/>
    <xf numFmtId="164" fontId="15" fillId="12" borderId="4" xfId="0" applyNumberFormat="1" applyFont="1" applyFill="1" applyBorder="1"/>
    <xf numFmtId="165" fontId="16" fillId="10" borderId="0" xfId="0" applyNumberFormat="1" applyFont="1" applyFill="1"/>
    <xf numFmtId="0" fontId="17" fillId="10" borderId="0" xfId="0" applyFont="1" applyFill="1"/>
    <xf numFmtId="166" fontId="14" fillId="10" borderId="3" xfId="0" applyNumberFormat="1" applyFont="1" applyFill="1" applyBorder="1"/>
    <xf numFmtId="167" fontId="14" fillId="10" borderId="3" xfId="0" applyNumberFormat="1" applyFont="1" applyFill="1" applyBorder="1"/>
    <xf numFmtId="168" fontId="14" fillId="10" borderId="3" xfId="0" applyNumberFormat="1" applyFont="1" applyFill="1" applyBorder="1"/>
    <xf numFmtId="169" fontId="14" fillId="10" borderId="3" xfId="0" applyNumberFormat="1" applyFont="1" applyFill="1" applyBorder="1"/>
    <xf numFmtId="0" fontId="16" fillId="10" borderId="0" xfId="0" applyFont="1" applyFill="1"/>
    <xf numFmtId="0" fontId="13" fillId="13" borderId="0" xfId="0" applyFont="1" applyFill="1"/>
    <xf numFmtId="167" fontId="17" fillId="10" borderId="3" xfId="0" applyNumberFormat="1" applyFont="1" applyFill="1" applyBorder="1"/>
    <xf numFmtId="166" fontId="17" fillId="10" borderId="3" xfId="0" applyNumberFormat="1" applyFont="1" applyFill="1" applyBorder="1"/>
    <xf numFmtId="0" fontId="13" fillId="10" borderId="3" xfId="0" applyFont="1" applyFill="1" applyBorder="1"/>
    <xf numFmtId="167" fontId="13" fillId="10" borderId="3" xfId="0" applyNumberFormat="1" applyFont="1" applyFill="1" applyBorder="1"/>
    <xf numFmtId="166" fontId="13" fillId="10" borderId="3" xfId="0" applyNumberFormat="1" applyFont="1" applyFill="1" applyBorder="1"/>
    <xf numFmtId="0" fontId="10" fillId="10" borderId="0" xfId="0" applyFont="1" applyFill="1"/>
    <xf numFmtId="1" fontId="14" fillId="10" borderId="3" xfId="0" applyNumberFormat="1" applyFont="1" applyFill="1" applyBorder="1"/>
    <xf numFmtId="0" fontId="18" fillId="10" borderId="3" xfId="0" applyFont="1" applyFill="1" applyBorder="1"/>
    <xf numFmtId="0" fontId="19" fillId="10" borderId="3" xfId="0" applyFont="1" applyFill="1" applyBorder="1"/>
    <xf numFmtId="170" fontId="14" fillId="10" borderId="3" xfId="0" applyNumberFormat="1" applyFont="1" applyFill="1" applyBorder="1"/>
    <xf numFmtId="171" fontId="14" fillId="10" borderId="3" xfId="0" applyNumberFormat="1" applyFont="1" applyFill="1" applyBorder="1"/>
    <xf numFmtId="0" fontId="16" fillId="10" borderId="0" xfId="0" applyFont="1" applyFill="1" applyAlignment="1">
      <alignment wrapText="1"/>
    </xf>
    <xf numFmtId="169" fontId="17" fillId="10" borderId="3" xfId="0" applyNumberFormat="1" applyFont="1" applyFill="1" applyBorder="1"/>
    <xf numFmtId="0" fontId="24" fillId="14" borderId="0" xfId="0" applyFont="1" applyFill="1"/>
    <xf numFmtId="0" fontId="25" fillId="14" borderId="0" xfId="0" applyFont="1" applyFill="1"/>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548235"/>
      <rgbColor rgb="FF800080"/>
      <rgbColor rgb="FF008080"/>
      <rgbColor rgb="FFB7B7B7"/>
      <rgbColor rgb="FF808080"/>
      <rgbColor rgb="FF9999FF"/>
      <rgbColor rgb="FF7030A0"/>
      <rgbColor rgb="FFF7F9FC"/>
      <rgbColor rgb="FFF2F2F2"/>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D9E1F2"/>
      <rgbColor rgb="FFC6EFCE"/>
      <rgbColor rgb="FFFFFF99"/>
      <rgbColor rgb="FF99CCFF"/>
      <rgbColor rgb="FFFF99CC"/>
      <rgbColor rgb="FFCC99FF"/>
      <rgbColor rgb="FFFFCC99"/>
      <rgbColor rgb="FF2E75B6"/>
      <rgbColor rgb="FF33CCCC"/>
      <rgbColor rgb="FF99CC00"/>
      <rgbColor rgb="FFFFCC00"/>
      <rgbColor rgb="FFBF8F00"/>
      <rgbColor rgb="FFFF6600"/>
      <rgbColor rgb="FF7C3AED"/>
      <rgbColor rgb="FF969696"/>
      <rgbColor rgb="FF003366"/>
      <rgbColor rgb="FF2E7D32"/>
      <rgbColor rgb="FF0D1321"/>
      <rgbColor rgb="FF333300"/>
      <rgbColor rgb="FF993300"/>
      <rgbColor rgb="FF993366"/>
      <rgbColor rgb="FF1F4E78"/>
      <rgbColor rgb="FF1A1A1A"/>
      <rgbColor rgb="00003366"/>
      <rgbColor rgb="00339966"/>
      <rgbColor rgb="00003300"/>
      <rgbColor rgb="00333300"/>
      <rgbColor rgb="00993300"/>
      <rgbColor rgb="00993366"/>
      <rgbColor rgb="00333399"/>
      <rgbColor rgb="00333333"/>
    </indexedColors>
    <mruColors>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1321"/>
  </sheetPr>
  <dimension ref="A1:D32"/>
  <sheetViews>
    <sheetView showGridLines="0" tabSelected="1" zoomScaleNormal="100" workbookViewId="0">
      <selection activeCell="A7" sqref="A7"/>
    </sheetView>
  </sheetViews>
  <sheetFormatPr defaultColWidth="8.7109375" defaultRowHeight="15" x14ac:dyDescent="0.25"/>
  <cols>
    <col min="1" max="1" width="22" customWidth="1"/>
    <col min="2" max="2" width="45" customWidth="1"/>
    <col min="3" max="3" width="3" customWidth="1"/>
    <col min="4" max="4" width="30" customWidth="1"/>
  </cols>
  <sheetData>
    <row r="1" spans="1:4" ht="19.5" customHeight="1" x14ac:dyDescent="0.25">
      <c r="A1" s="61" t="s">
        <v>0</v>
      </c>
      <c r="B1" s="61"/>
      <c r="C1" s="61"/>
      <c r="D1" s="61"/>
    </row>
    <row r="2" spans="1:4" ht="19.5" customHeight="1" x14ac:dyDescent="0.25">
      <c r="A2" s="61"/>
      <c r="B2" s="61"/>
      <c r="C2" s="61"/>
      <c r="D2" s="61"/>
    </row>
    <row r="3" spans="1:4" ht="19.5" customHeight="1" x14ac:dyDescent="0.25">
      <c r="A3" s="62" t="s">
        <v>1</v>
      </c>
      <c r="B3" s="62"/>
      <c r="C3" s="62"/>
      <c r="D3" s="62"/>
    </row>
    <row r="5" spans="1:4" ht="24" customHeight="1" x14ac:dyDescent="0.25">
      <c r="A5" s="63" t="s">
        <v>493</v>
      </c>
      <c r="B5" s="63"/>
      <c r="C5" s="63"/>
      <c r="D5" s="63"/>
    </row>
    <row r="6" spans="1:4" ht="24" customHeight="1" x14ac:dyDescent="0.25">
      <c r="A6" s="63"/>
      <c r="B6" s="63"/>
      <c r="C6" s="63"/>
      <c r="D6" s="63"/>
    </row>
    <row r="8" spans="1:4" ht="19.5" x14ac:dyDescent="0.3">
      <c r="A8" s="64" t="s">
        <v>2</v>
      </c>
      <c r="B8" s="64"/>
      <c r="C8" s="64"/>
      <c r="D8" s="64"/>
    </row>
    <row r="9" spans="1:4" x14ac:dyDescent="0.25">
      <c r="A9" s="65" t="s">
        <v>3</v>
      </c>
      <c r="B9" s="65"/>
      <c r="C9" s="65"/>
      <c r="D9" s="65"/>
    </row>
    <row r="10" spans="1:4" ht="3.75" customHeight="1" x14ac:dyDescent="0.25">
      <c r="A10" s="60"/>
      <c r="B10" s="60"/>
      <c r="C10" s="60"/>
      <c r="D10" s="60"/>
    </row>
    <row r="12" spans="1:4" x14ac:dyDescent="0.25">
      <c r="A12" s="2" t="s">
        <v>4</v>
      </c>
      <c r="B12" s="59" t="s">
        <v>5</v>
      </c>
      <c r="C12" s="59"/>
      <c r="D12" s="59"/>
    </row>
    <row r="14" spans="1:4" x14ac:dyDescent="0.25">
      <c r="A14" s="2" t="s">
        <v>6</v>
      </c>
      <c r="B14" s="59" t="str">
        <f>CONCATENATE(Assumptions!$C$7," MW / ",Assumptions!$C$8," MWh (",ROUND(Assumptions!$C$8/Assumptions!$C$7,1),"-hr duration)")</f>
        <v>250 MW / 500 MWh (2-hr duration)</v>
      </c>
      <c r="C14" s="59"/>
      <c r="D14" s="59"/>
    </row>
    <row r="16" spans="1:4" x14ac:dyDescent="0.25">
      <c r="A16" s="2" t="s">
        <v>7</v>
      </c>
      <c r="B16" s="59" t="s">
        <v>8</v>
      </c>
      <c r="C16" s="59"/>
      <c r="D16" s="59"/>
    </row>
    <row r="18" spans="1:4" x14ac:dyDescent="0.25">
      <c r="A18" s="2" t="s">
        <v>9</v>
      </c>
      <c r="B18" s="59" t="s">
        <v>10</v>
      </c>
      <c r="C18" s="59"/>
      <c r="D18" s="59"/>
    </row>
    <row r="20" spans="1:4" x14ac:dyDescent="0.25">
      <c r="A20" s="2" t="s">
        <v>11</v>
      </c>
      <c r="B20" s="59" t="s">
        <v>12</v>
      </c>
      <c r="C20" s="59"/>
      <c r="D20" s="59"/>
    </row>
    <row r="22" spans="1:4" x14ac:dyDescent="0.25">
      <c r="A22" s="2" t="s">
        <v>13</v>
      </c>
      <c r="B22" s="59" t="str">
        <f>CONCATENATE(Assumptions!$C$47," Years")</f>
        <v>15 Years</v>
      </c>
      <c r="C22" s="59"/>
      <c r="D22" s="59"/>
    </row>
    <row r="24" spans="1:4" x14ac:dyDescent="0.25">
      <c r="A24" s="2" t="s">
        <v>14</v>
      </c>
      <c r="B24" s="59" t="str">
        <f>CONCATENATE("₹",TEXT(Assumptions!$C$20/10,"#,##0")," Cr (indicative)")</f>
        <v>₹884 Cr (indicative)</v>
      </c>
      <c r="C24" s="59"/>
      <c r="D24" s="59"/>
    </row>
    <row r="26" spans="1:4" x14ac:dyDescent="0.25">
      <c r="A26" s="2" t="s">
        <v>15</v>
      </c>
      <c r="B26" s="59" t="str">
        <f>CONCATENATE(TEXT(Assumptions!$C$37,"0%")," : ",TEXT(1-Assumptions!$C$37,"0%"))</f>
        <v>75% : 25%</v>
      </c>
      <c r="C26" s="59"/>
      <c r="D26" s="59"/>
    </row>
    <row r="28" spans="1:4" x14ac:dyDescent="0.25">
      <c r="A28" s="2" t="s">
        <v>16</v>
      </c>
      <c r="B28" s="59" t="str">
        <f>CONCATENATE("₹",TEXT(Assumptions!$C$77,"0.00")," Million/MW/year")</f>
        <v>₹6.60 Million/MW/year</v>
      </c>
      <c r="C28" s="59"/>
      <c r="D28" s="59"/>
    </row>
    <row r="30" spans="1:4" x14ac:dyDescent="0.25">
      <c r="A30" s="2" t="s">
        <v>17</v>
      </c>
      <c r="B30" s="59" t="s">
        <v>18</v>
      </c>
      <c r="C30" s="59"/>
      <c r="D30" s="59"/>
    </row>
    <row r="32" spans="1:4" x14ac:dyDescent="0.25">
      <c r="A32" s="2" t="s">
        <v>19</v>
      </c>
      <c r="B32" s="59" t="s">
        <v>20</v>
      </c>
      <c r="C32" s="59"/>
      <c r="D32" s="59"/>
    </row>
  </sheetData>
  <mergeCells count="17">
    <mergeCell ref="A1:D2"/>
    <mergeCell ref="A3:D3"/>
    <mergeCell ref="A5:D6"/>
    <mergeCell ref="A8:D8"/>
    <mergeCell ref="A9:D9"/>
    <mergeCell ref="A10:D10"/>
    <mergeCell ref="B12:D12"/>
    <mergeCell ref="B14:D14"/>
    <mergeCell ref="B16:D16"/>
    <mergeCell ref="B18:D18"/>
    <mergeCell ref="B30:D30"/>
    <mergeCell ref="B32:D32"/>
    <mergeCell ref="B20:D20"/>
    <mergeCell ref="B22:D22"/>
    <mergeCell ref="B24:D24"/>
    <mergeCell ref="B26:D26"/>
    <mergeCell ref="B28:D28"/>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48235"/>
  </sheetPr>
  <dimension ref="A1:R28"/>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503</v>
      </c>
      <c r="B1" s="66"/>
      <c r="C1" s="66"/>
      <c r="D1" s="66"/>
      <c r="E1" s="66"/>
      <c r="F1" s="66"/>
      <c r="G1" s="66"/>
      <c r="H1" s="66"/>
      <c r="I1" s="66"/>
      <c r="J1" s="66"/>
      <c r="K1" s="66"/>
      <c r="L1" s="66"/>
      <c r="M1" s="66"/>
      <c r="N1" s="66"/>
      <c r="O1" s="66"/>
      <c r="P1" s="66"/>
      <c r="Q1" s="66"/>
      <c r="R1" s="66"/>
    </row>
    <row r="2" spans="1:18" ht="18" x14ac:dyDescent="0.25">
      <c r="A2" s="19" t="s">
        <v>371</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ht="18" customHeight="1" x14ac:dyDescent="0.25">
      <c r="A6" s="6" t="s">
        <v>372</v>
      </c>
      <c r="B6" s="7"/>
      <c r="C6" s="7"/>
      <c r="D6" s="7"/>
    </row>
    <row r="7" spans="1:18" x14ac:dyDescent="0.25">
      <c r="A7" s="10" t="s">
        <v>373</v>
      </c>
      <c r="C7" s="18">
        <f>Assumptions!$C$25</f>
        <v>6366.5</v>
      </c>
      <c r="D7" s="18">
        <f>'Degradation-Augmentation'!D18</f>
        <v>0</v>
      </c>
      <c r="E7" s="18">
        <f>'Degradation-Augmentation'!E18</f>
        <v>0</v>
      </c>
      <c r="F7" s="18">
        <f>'Degradation-Augmentation'!F18</f>
        <v>0</v>
      </c>
      <c r="G7" s="18">
        <f>'Degradation-Augmentation'!G18</f>
        <v>0</v>
      </c>
      <c r="H7" s="18">
        <f>'Degradation-Augmentation'!H18</f>
        <v>0</v>
      </c>
      <c r="I7" s="18">
        <f>'Degradation-Augmentation'!I18</f>
        <v>0</v>
      </c>
      <c r="J7" s="18">
        <f>'Degradation-Augmentation'!J18</f>
        <v>0</v>
      </c>
      <c r="K7" s="18">
        <f>'Degradation-Augmentation'!K18</f>
        <v>355.19155433123808</v>
      </c>
      <c r="L7" s="18">
        <f>'Degradation-Augmentation'!L18</f>
        <v>0</v>
      </c>
      <c r="M7" s="18">
        <f>'Degradation-Augmentation'!M18</f>
        <v>0</v>
      </c>
      <c r="N7" s="18">
        <f>'Degradation-Augmentation'!N18</f>
        <v>0</v>
      </c>
      <c r="O7" s="18">
        <f>'Degradation-Augmentation'!O18</f>
        <v>0</v>
      </c>
      <c r="P7" s="18">
        <f>'Degradation-Augmentation'!P18</f>
        <v>0</v>
      </c>
      <c r="Q7" s="18">
        <f>'Degradation-Augmentation'!Q18</f>
        <v>0</v>
      </c>
      <c r="R7" s="18">
        <f>'Degradation-Augmentation'!R18</f>
        <v>0</v>
      </c>
    </row>
    <row r="8" spans="1:18" x14ac:dyDescent="0.25">
      <c r="A8" s="10" t="s">
        <v>374</v>
      </c>
      <c r="C8" s="18">
        <v>0</v>
      </c>
      <c r="D8" s="18">
        <f t="shared" ref="D8:R8" si="0">C10</f>
        <v>6366.5</v>
      </c>
      <c r="E8" s="18">
        <f t="shared" si="0"/>
        <v>5411.5249999999996</v>
      </c>
      <c r="F8" s="18">
        <f t="shared" si="0"/>
        <v>4599.7962499999994</v>
      </c>
      <c r="G8" s="18">
        <f t="shared" si="0"/>
        <v>3909.8268124999995</v>
      </c>
      <c r="H8" s="18">
        <f t="shared" si="0"/>
        <v>3323.3527906249997</v>
      </c>
      <c r="I8" s="18">
        <f t="shared" si="0"/>
        <v>2824.8498720312496</v>
      </c>
      <c r="J8" s="18">
        <f t="shared" si="0"/>
        <v>2401.1223912265623</v>
      </c>
      <c r="K8" s="18">
        <f t="shared" si="0"/>
        <v>2040.954032542578</v>
      </c>
      <c r="L8" s="18">
        <f t="shared" si="0"/>
        <v>2036.7237488427438</v>
      </c>
      <c r="M8" s="18">
        <f t="shared" si="0"/>
        <v>1731.2151865163323</v>
      </c>
      <c r="N8" s="18">
        <f t="shared" si="0"/>
        <v>1471.5329085388826</v>
      </c>
      <c r="O8" s="18">
        <f t="shared" si="0"/>
        <v>1250.8029722580502</v>
      </c>
      <c r="P8" s="18">
        <f t="shared" si="0"/>
        <v>1063.1825264193426</v>
      </c>
      <c r="Q8" s="18">
        <f t="shared" si="0"/>
        <v>903.70514745644118</v>
      </c>
      <c r="R8" s="18">
        <f t="shared" si="0"/>
        <v>768.14937533797502</v>
      </c>
    </row>
    <row r="9" spans="1:18" x14ac:dyDescent="0.25">
      <c r="A9" s="10" t="s">
        <v>375</v>
      </c>
      <c r="C9" s="18">
        <v>0</v>
      </c>
      <c r="D9" s="18">
        <f>(D8+D7)*Assumptions!$C$69</f>
        <v>954.97499999999991</v>
      </c>
      <c r="E9" s="18">
        <f>(E8+E7)*Assumptions!$C$69</f>
        <v>811.72874999999988</v>
      </c>
      <c r="F9" s="18">
        <f>(F8+F7)*Assumptions!$C$69</f>
        <v>689.96943749999991</v>
      </c>
      <c r="G9" s="18">
        <f>(G8+G7)*Assumptions!$C$69</f>
        <v>586.47402187499995</v>
      </c>
      <c r="H9" s="18">
        <f>(H8+H7)*Assumptions!$C$69</f>
        <v>498.50291859374994</v>
      </c>
      <c r="I9" s="18">
        <f>(I8+I7)*Assumptions!$C$69</f>
        <v>423.72748080468745</v>
      </c>
      <c r="J9" s="18">
        <f>(J8+J7)*Assumptions!$C$69</f>
        <v>360.16835868398431</v>
      </c>
      <c r="K9" s="18">
        <f>(K8+K7)*Assumptions!$C$69</f>
        <v>359.42183803107241</v>
      </c>
      <c r="L9" s="18">
        <f>(L8+L7)*Assumptions!$C$69</f>
        <v>305.50856232641155</v>
      </c>
      <c r="M9" s="18">
        <f>(M8+M7)*Assumptions!$C$69</f>
        <v>259.68227797744981</v>
      </c>
      <c r="N9" s="18">
        <f>(N8+N7)*Assumptions!$C$69</f>
        <v>220.72993628083239</v>
      </c>
      <c r="O9" s="18">
        <f>(O8+O7)*Assumptions!$C$69</f>
        <v>187.62044583870752</v>
      </c>
      <c r="P9" s="18">
        <f>(P8+P7)*Assumptions!$C$69</f>
        <v>159.47737896290138</v>
      </c>
      <c r="Q9" s="18">
        <f>(Q8+Q7)*Assumptions!$C$69</f>
        <v>135.55577211846617</v>
      </c>
      <c r="R9" s="18">
        <f>(R8+R7)*Assumptions!$C$69</f>
        <v>115.22240630069625</v>
      </c>
    </row>
    <row r="10" spans="1:18" x14ac:dyDescent="0.25">
      <c r="A10" s="8" t="s">
        <v>376</v>
      </c>
      <c r="C10" s="32">
        <f>C7+C8-C9</f>
        <v>6366.5</v>
      </c>
      <c r="D10" s="32">
        <f t="shared" ref="D10:R10" si="1">D8+D7-D9</f>
        <v>5411.5249999999996</v>
      </c>
      <c r="E10" s="32">
        <f t="shared" si="1"/>
        <v>4599.7962499999994</v>
      </c>
      <c r="F10" s="32">
        <f t="shared" si="1"/>
        <v>3909.8268124999995</v>
      </c>
      <c r="G10" s="32">
        <f t="shared" si="1"/>
        <v>3323.3527906249997</v>
      </c>
      <c r="H10" s="32">
        <f t="shared" si="1"/>
        <v>2824.8498720312496</v>
      </c>
      <c r="I10" s="32">
        <f t="shared" si="1"/>
        <v>2401.1223912265623</v>
      </c>
      <c r="J10" s="32">
        <f t="shared" si="1"/>
        <v>2040.954032542578</v>
      </c>
      <c r="K10" s="32">
        <f t="shared" si="1"/>
        <v>2036.7237488427438</v>
      </c>
      <c r="L10" s="32">
        <f t="shared" si="1"/>
        <v>1731.2151865163323</v>
      </c>
      <c r="M10" s="32">
        <f t="shared" si="1"/>
        <v>1471.5329085388826</v>
      </c>
      <c r="N10" s="32">
        <f t="shared" si="1"/>
        <v>1250.8029722580502</v>
      </c>
      <c r="O10" s="32">
        <f t="shared" si="1"/>
        <v>1063.1825264193426</v>
      </c>
      <c r="P10" s="32">
        <f t="shared" si="1"/>
        <v>903.70514745644118</v>
      </c>
      <c r="Q10" s="32">
        <f t="shared" si="1"/>
        <v>768.14937533797502</v>
      </c>
      <c r="R10" s="32">
        <f t="shared" si="1"/>
        <v>652.92696903727881</v>
      </c>
    </row>
    <row r="12" spans="1:18" ht="18" customHeight="1" x14ac:dyDescent="0.25">
      <c r="A12" s="6" t="s">
        <v>377</v>
      </c>
      <c r="B12" s="7"/>
      <c r="C12" s="7"/>
      <c r="D12" s="7"/>
    </row>
    <row r="13" spans="1:18" x14ac:dyDescent="0.25">
      <c r="A13" s="10" t="s">
        <v>378</v>
      </c>
      <c r="C13" s="18">
        <f>Assumptions!$C$24+Assumptions!$C$26</f>
        <v>1325.73</v>
      </c>
      <c r="D13" s="18">
        <v>0</v>
      </c>
      <c r="E13" s="18">
        <v>0</v>
      </c>
      <c r="F13" s="18">
        <v>0</v>
      </c>
      <c r="G13" s="18">
        <v>0</v>
      </c>
      <c r="H13" s="18">
        <v>0</v>
      </c>
      <c r="I13" s="18">
        <v>0</v>
      </c>
      <c r="J13" s="18">
        <v>0</v>
      </c>
      <c r="K13" s="18">
        <v>0</v>
      </c>
      <c r="L13" s="18">
        <v>0</v>
      </c>
      <c r="M13" s="18">
        <v>0</v>
      </c>
      <c r="N13" s="18">
        <v>0</v>
      </c>
      <c r="O13" s="18">
        <v>0</v>
      </c>
      <c r="P13" s="18">
        <v>0</v>
      </c>
      <c r="Q13" s="18">
        <v>0</v>
      </c>
      <c r="R13" s="18">
        <v>0</v>
      </c>
    </row>
    <row r="14" spans="1:18" x14ac:dyDescent="0.25">
      <c r="A14" s="10" t="s">
        <v>379</v>
      </c>
      <c r="C14" s="18">
        <v>0</v>
      </c>
      <c r="D14" s="18">
        <f t="shared" ref="D14:R14" si="2">C16</f>
        <v>1325.73</v>
      </c>
      <c r="E14" s="18">
        <f t="shared" si="2"/>
        <v>1193.1569999999999</v>
      </c>
      <c r="F14" s="18">
        <f t="shared" si="2"/>
        <v>1073.8413</v>
      </c>
      <c r="G14" s="18">
        <f t="shared" si="2"/>
        <v>966.45717000000002</v>
      </c>
      <c r="H14" s="18">
        <f t="shared" si="2"/>
        <v>869.81145300000003</v>
      </c>
      <c r="I14" s="18">
        <f t="shared" si="2"/>
        <v>782.83030770000005</v>
      </c>
      <c r="J14" s="18">
        <f t="shared" si="2"/>
        <v>704.54727693000007</v>
      </c>
      <c r="K14" s="18">
        <f t="shared" si="2"/>
        <v>634.09254923700007</v>
      </c>
      <c r="L14" s="18">
        <f t="shared" si="2"/>
        <v>570.68329431330005</v>
      </c>
      <c r="M14" s="18">
        <f t="shared" si="2"/>
        <v>513.61496488197008</v>
      </c>
      <c r="N14" s="18">
        <f t="shared" si="2"/>
        <v>462.25346839377306</v>
      </c>
      <c r="O14" s="18">
        <f t="shared" si="2"/>
        <v>416.02812155439574</v>
      </c>
      <c r="P14" s="18">
        <f t="shared" si="2"/>
        <v>374.42530939895619</v>
      </c>
      <c r="Q14" s="18">
        <f t="shared" si="2"/>
        <v>336.98277845906057</v>
      </c>
      <c r="R14" s="18">
        <f t="shared" si="2"/>
        <v>303.28450061315453</v>
      </c>
    </row>
    <row r="15" spans="1:18" x14ac:dyDescent="0.25">
      <c r="A15" s="10" t="s">
        <v>380</v>
      </c>
      <c r="C15" s="18">
        <v>0</v>
      </c>
      <c r="D15" s="18">
        <f>(D14+D13)*Assumptions!$C$70</f>
        <v>132.57300000000001</v>
      </c>
      <c r="E15" s="18">
        <f>(E14+E13)*Assumptions!$C$70</f>
        <v>119.31569999999999</v>
      </c>
      <c r="F15" s="18">
        <f>(F14+F13)*Assumptions!$C$70</f>
        <v>107.38413000000001</v>
      </c>
      <c r="G15" s="18">
        <f>(G14+G13)*Assumptions!$C$70</f>
        <v>96.645717000000005</v>
      </c>
      <c r="H15" s="18">
        <f>(H14+H13)*Assumptions!$C$70</f>
        <v>86.981145300000009</v>
      </c>
      <c r="I15" s="18">
        <f>(I14+I13)*Assumptions!$C$70</f>
        <v>78.283030770000011</v>
      </c>
      <c r="J15" s="18">
        <f>(J14+J13)*Assumptions!$C$70</f>
        <v>70.454727693000009</v>
      </c>
      <c r="K15" s="18">
        <f>(K14+K13)*Assumptions!$C$70</f>
        <v>63.409254923700011</v>
      </c>
      <c r="L15" s="18">
        <f>(L14+L13)*Assumptions!$C$70</f>
        <v>57.068329431330007</v>
      </c>
      <c r="M15" s="18">
        <f>(M14+M13)*Assumptions!$C$70</f>
        <v>51.361496488197012</v>
      </c>
      <c r="N15" s="18">
        <f>(N14+N13)*Assumptions!$C$70</f>
        <v>46.225346839377309</v>
      </c>
      <c r="O15" s="18">
        <f>(O14+O13)*Assumptions!$C$70</f>
        <v>41.60281215543958</v>
      </c>
      <c r="P15" s="18">
        <f>(P14+P13)*Assumptions!$C$70</f>
        <v>37.442530939895619</v>
      </c>
      <c r="Q15" s="18">
        <f>(Q14+Q13)*Assumptions!$C$70</f>
        <v>33.698277845906055</v>
      </c>
      <c r="R15" s="18">
        <f>(R14+R13)*Assumptions!$C$70</f>
        <v>30.328450061315454</v>
      </c>
    </row>
    <row r="16" spans="1:18" x14ac:dyDescent="0.25">
      <c r="A16" s="8" t="s">
        <v>381</v>
      </c>
      <c r="C16" s="32">
        <f>C13+C14-C15</f>
        <v>1325.73</v>
      </c>
      <c r="D16" s="32">
        <f t="shared" ref="D16:R16" si="3">D14+D13-D15</f>
        <v>1193.1569999999999</v>
      </c>
      <c r="E16" s="32">
        <f t="shared" si="3"/>
        <v>1073.8413</v>
      </c>
      <c r="F16" s="32">
        <f t="shared" si="3"/>
        <v>966.45717000000002</v>
      </c>
      <c r="G16" s="32">
        <f t="shared" si="3"/>
        <v>869.81145300000003</v>
      </c>
      <c r="H16" s="32">
        <f t="shared" si="3"/>
        <v>782.83030770000005</v>
      </c>
      <c r="I16" s="32">
        <f t="shared" si="3"/>
        <v>704.54727693000007</v>
      </c>
      <c r="J16" s="32">
        <f t="shared" si="3"/>
        <v>634.09254923700007</v>
      </c>
      <c r="K16" s="32">
        <f t="shared" si="3"/>
        <v>570.68329431330005</v>
      </c>
      <c r="L16" s="32">
        <f t="shared" si="3"/>
        <v>513.61496488197008</v>
      </c>
      <c r="M16" s="32">
        <f t="shared" si="3"/>
        <v>462.25346839377306</v>
      </c>
      <c r="N16" s="32">
        <f t="shared" si="3"/>
        <v>416.02812155439574</v>
      </c>
      <c r="O16" s="32">
        <f t="shared" si="3"/>
        <v>374.42530939895619</v>
      </c>
      <c r="P16" s="32">
        <f t="shared" si="3"/>
        <v>336.98277845906057</v>
      </c>
      <c r="Q16" s="32">
        <f t="shared" si="3"/>
        <v>303.28450061315453</v>
      </c>
      <c r="R16" s="32">
        <f t="shared" si="3"/>
        <v>272.9560505518391</v>
      </c>
    </row>
    <row r="18" spans="1:18" x14ac:dyDescent="0.25">
      <c r="A18" s="8" t="s">
        <v>382</v>
      </c>
      <c r="C18" s="32">
        <f t="shared" ref="C18:R18" si="4">C9+C15</f>
        <v>0</v>
      </c>
      <c r="D18" s="32">
        <f t="shared" si="4"/>
        <v>1087.548</v>
      </c>
      <c r="E18" s="32">
        <f t="shared" si="4"/>
        <v>931.04444999999987</v>
      </c>
      <c r="F18" s="32">
        <f t="shared" si="4"/>
        <v>797.35356749999994</v>
      </c>
      <c r="G18" s="32">
        <f t="shared" si="4"/>
        <v>683.11973887499994</v>
      </c>
      <c r="H18" s="32">
        <f t="shared" si="4"/>
        <v>585.48406389374998</v>
      </c>
      <c r="I18" s="32">
        <f t="shared" si="4"/>
        <v>502.01051157468748</v>
      </c>
      <c r="J18" s="32">
        <f t="shared" si="4"/>
        <v>430.6230863769843</v>
      </c>
      <c r="K18" s="32">
        <f t="shared" si="4"/>
        <v>422.83109295477243</v>
      </c>
      <c r="L18" s="32">
        <f t="shared" si="4"/>
        <v>362.57689175774158</v>
      </c>
      <c r="M18" s="32">
        <f t="shared" si="4"/>
        <v>311.04377446564683</v>
      </c>
      <c r="N18" s="32">
        <f t="shared" si="4"/>
        <v>266.95528312020969</v>
      </c>
      <c r="O18" s="32">
        <f t="shared" si="4"/>
        <v>229.2232579941471</v>
      </c>
      <c r="P18" s="32">
        <f t="shared" si="4"/>
        <v>196.919909902797</v>
      </c>
      <c r="Q18" s="32">
        <f t="shared" si="4"/>
        <v>169.25404996437223</v>
      </c>
      <c r="R18" s="32">
        <f t="shared" si="4"/>
        <v>145.5508563620117</v>
      </c>
    </row>
    <row r="20" spans="1:18" ht="18" customHeight="1" x14ac:dyDescent="0.25">
      <c r="A20" s="6" t="s">
        <v>383</v>
      </c>
      <c r="B20" s="7"/>
      <c r="C20" s="7"/>
      <c r="D20" s="7"/>
    </row>
    <row r="21" spans="1:18" x14ac:dyDescent="0.25">
      <c r="A21" s="13" t="s">
        <v>384</v>
      </c>
    </row>
    <row r="22" spans="1:18" x14ac:dyDescent="0.25">
      <c r="A22" s="8" t="s">
        <v>385</v>
      </c>
      <c r="C22" s="32">
        <v>0</v>
      </c>
      <c r="D22" s="32">
        <v>0</v>
      </c>
      <c r="E22" s="32">
        <v>0</v>
      </c>
      <c r="F22" s="32">
        <v>0</v>
      </c>
      <c r="G22" s="32">
        <v>0</v>
      </c>
      <c r="H22" s="32">
        <v>0</v>
      </c>
      <c r="I22" s="32">
        <v>0</v>
      </c>
      <c r="J22" s="32">
        <v>0</v>
      </c>
      <c r="K22" s="32">
        <v>0</v>
      </c>
      <c r="L22" s="32">
        <v>0</v>
      </c>
      <c r="M22" s="32">
        <v>0</v>
      </c>
      <c r="N22" s="32">
        <v>0</v>
      </c>
      <c r="O22" s="32">
        <v>0</v>
      </c>
      <c r="P22" s="32">
        <v>0</v>
      </c>
      <c r="Q22" s="32">
        <v>0</v>
      </c>
      <c r="R22" s="32">
        <f>MAX(0,Revenue!R10-R10)</f>
        <v>303.32303096272119</v>
      </c>
    </row>
    <row r="23" spans="1:18" x14ac:dyDescent="0.25">
      <c r="A23" s="8" t="s">
        <v>386</v>
      </c>
      <c r="C23" s="32">
        <v>0</v>
      </c>
      <c r="D23" s="32">
        <v>0</v>
      </c>
      <c r="E23" s="32">
        <v>0</v>
      </c>
      <c r="F23" s="32">
        <v>0</v>
      </c>
      <c r="G23" s="32">
        <v>0</v>
      </c>
      <c r="H23" s="32">
        <v>0</v>
      </c>
      <c r="I23" s="32">
        <v>0</v>
      </c>
      <c r="J23" s="32">
        <v>0</v>
      </c>
      <c r="K23" s="32">
        <v>0</v>
      </c>
      <c r="L23" s="32">
        <v>0</v>
      </c>
      <c r="M23" s="32">
        <v>0</v>
      </c>
      <c r="N23" s="32">
        <v>0</v>
      </c>
      <c r="O23" s="32">
        <v>0</v>
      </c>
      <c r="P23" s="32">
        <v>0</v>
      </c>
      <c r="Q23" s="32">
        <v>0</v>
      </c>
      <c r="R23" s="32">
        <f>MAX(0,R10-Revenue!R10)</f>
        <v>0</v>
      </c>
    </row>
    <row r="25" spans="1:18" ht="18" customHeight="1" x14ac:dyDescent="0.25">
      <c r="A25" s="6" t="s">
        <v>387</v>
      </c>
      <c r="B25" s="7"/>
      <c r="C25" s="7"/>
      <c r="D25" s="7"/>
    </row>
    <row r="26" spans="1:18" x14ac:dyDescent="0.25">
      <c r="A26" s="10" t="s">
        <v>388</v>
      </c>
      <c r="C26" s="18">
        <f>Assumptions!$C$28</f>
        <v>7692.23</v>
      </c>
      <c r="D26" s="18">
        <f>'Degradation-Augmentation'!D18</f>
        <v>0</v>
      </c>
      <c r="E26" s="18">
        <f>'Degradation-Augmentation'!E18</f>
        <v>0</v>
      </c>
      <c r="F26" s="18">
        <f>'Degradation-Augmentation'!F18</f>
        <v>0</v>
      </c>
      <c r="G26" s="18">
        <f>'Degradation-Augmentation'!G18</f>
        <v>0</v>
      </c>
      <c r="H26" s="18">
        <f>'Degradation-Augmentation'!H18</f>
        <v>0</v>
      </c>
      <c r="I26" s="18">
        <f>'Degradation-Augmentation'!I18</f>
        <v>0</v>
      </c>
      <c r="J26" s="18">
        <f>'Degradation-Augmentation'!J18</f>
        <v>0</v>
      </c>
      <c r="K26" s="18">
        <f>'Degradation-Augmentation'!K18</f>
        <v>355.19155433123808</v>
      </c>
      <c r="L26" s="18">
        <f>'Degradation-Augmentation'!L18</f>
        <v>0</v>
      </c>
      <c r="M26" s="18">
        <f>'Degradation-Augmentation'!M18</f>
        <v>0</v>
      </c>
      <c r="N26" s="18">
        <f>'Degradation-Augmentation'!N18</f>
        <v>0</v>
      </c>
      <c r="O26" s="18">
        <f>'Degradation-Augmentation'!O18</f>
        <v>0</v>
      </c>
      <c r="P26" s="18">
        <f>'Degradation-Augmentation'!P18</f>
        <v>0</v>
      </c>
      <c r="Q26" s="18">
        <f>'Degradation-Augmentation'!Q18</f>
        <v>0</v>
      </c>
      <c r="R26" s="18">
        <f>'Degradation-Augmentation'!R18</f>
        <v>0</v>
      </c>
    </row>
    <row r="27" spans="1:18" x14ac:dyDescent="0.25">
      <c r="A27" s="8" t="s">
        <v>389</v>
      </c>
      <c r="C27" s="32">
        <v>0</v>
      </c>
      <c r="D27" s="32">
        <f>SUMPRODUCT(INDEX(C26:R26,MAX(1,1-Assumptions!$C$73+1)):INDEX(C26:R26,1))*(1-Assumptions!$C$74)/MAX(1,Assumptions!$C$73)</f>
        <v>487.17456666666664</v>
      </c>
      <c r="E27" s="32">
        <f>SUMPRODUCT(INDEX(C26:R26,MAX(1,2-Assumptions!$C$73+1)):INDEX(C26:R26,2))*(1-Assumptions!$C$74)/MAX(1,Assumptions!$C$73)</f>
        <v>487.17456666666664</v>
      </c>
      <c r="F27" s="32">
        <f>SUMPRODUCT(INDEX(C26:R26,MAX(1,3-Assumptions!$C$73+1)):INDEX(C26:R26,3))*(1-Assumptions!$C$74)/MAX(1,Assumptions!$C$73)</f>
        <v>487.17456666666664</v>
      </c>
      <c r="G27" s="32">
        <f>SUMPRODUCT(INDEX(C26:R26,MAX(1,4-Assumptions!$C$73+1)):INDEX(C26:R26,4))*(1-Assumptions!$C$74)/MAX(1,Assumptions!$C$73)</f>
        <v>487.17456666666664</v>
      </c>
      <c r="H27" s="32">
        <f>SUMPRODUCT(INDEX(C26:R26,MAX(1,5-Assumptions!$C$73+1)):INDEX(C26:R26,5))*(1-Assumptions!$C$74)/MAX(1,Assumptions!$C$73)</f>
        <v>487.17456666666664</v>
      </c>
      <c r="I27" s="32">
        <f>SUMPRODUCT(INDEX(C26:R26,MAX(1,6-Assumptions!$C$73+1)):INDEX(C26:R26,6))*(1-Assumptions!$C$74)/MAX(1,Assumptions!$C$73)</f>
        <v>487.17456666666664</v>
      </c>
      <c r="J27" s="32">
        <f>SUMPRODUCT(INDEX(C26:R26,MAX(1,7-Assumptions!$C$73+1)):INDEX(C26:R26,7))*(1-Assumptions!$C$74)/MAX(1,Assumptions!$C$73)</f>
        <v>487.17456666666664</v>
      </c>
      <c r="K27" s="32">
        <f>SUMPRODUCT(INDEX(C26:R26,MAX(1,8-Assumptions!$C$73+1)):INDEX(C26:R26,8))*(1-Assumptions!$C$74)/MAX(1,Assumptions!$C$73)</f>
        <v>487.17456666666664</v>
      </c>
      <c r="L27" s="32">
        <f>SUMPRODUCT(INDEX(C26:R26,MAX(1,9-Assumptions!$C$73+1)):INDEX(C26:R26,9))*(1-Assumptions!$C$74)/MAX(1,Assumptions!$C$73)</f>
        <v>509.67003177431167</v>
      </c>
      <c r="M27" s="32">
        <f>SUMPRODUCT(INDEX(C26:R26,MAX(1,10-Assumptions!$C$73+1)):INDEX(C26:R26,10))*(1-Assumptions!$C$74)/MAX(1,Assumptions!$C$73)</f>
        <v>509.67003177431167</v>
      </c>
      <c r="N27" s="32">
        <f>SUMPRODUCT(INDEX(C26:R26,MAX(1,11-Assumptions!$C$73+1)):INDEX(C26:R26,11))*(1-Assumptions!$C$74)/MAX(1,Assumptions!$C$73)</f>
        <v>509.67003177431167</v>
      </c>
      <c r="O27" s="32">
        <f>SUMPRODUCT(INDEX(C26:R26,MAX(1,12-Assumptions!$C$73+1)):INDEX(C26:R26,12))*(1-Assumptions!$C$74)/MAX(1,Assumptions!$C$73)</f>
        <v>509.67003177431167</v>
      </c>
      <c r="P27" s="32">
        <f>SUMPRODUCT(INDEX(C26:R26,MAX(1,13-Assumptions!$C$73+1)):INDEX(C26:R26,13))*(1-Assumptions!$C$74)/MAX(1,Assumptions!$C$73)</f>
        <v>509.67003177431167</v>
      </c>
      <c r="Q27" s="32">
        <f>SUMPRODUCT(INDEX(C26:R26,MAX(1,14-Assumptions!$C$73+1)):INDEX(C26:R26,14))*(1-Assumptions!$C$74)/MAX(1,Assumptions!$C$73)</f>
        <v>509.67003177431167</v>
      </c>
      <c r="R27" s="32">
        <f>SUMPRODUCT(INDEX(C26:R26,MAX(1,15-Assumptions!$C$73+1)):INDEX(C26:R26,15))*(1-Assumptions!$C$74)/MAX(1,Assumptions!$C$73)</f>
        <v>509.67003177431167</v>
      </c>
    </row>
    <row r="28" spans="1:18" x14ac:dyDescent="0.25">
      <c r="A28" s="8" t="s">
        <v>390</v>
      </c>
      <c r="C28" s="32">
        <f>C26</f>
        <v>7692.23</v>
      </c>
      <c r="D28" s="32">
        <f t="shared" ref="D28:R28" si="5">C28+D26-D27</f>
        <v>7205.055433333333</v>
      </c>
      <c r="E28" s="32">
        <f t="shared" si="5"/>
        <v>6717.8808666666664</v>
      </c>
      <c r="F28" s="32">
        <f t="shared" si="5"/>
        <v>6230.7062999999998</v>
      </c>
      <c r="G28" s="32">
        <f t="shared" si="5"/>
        <v>5743.5317333333332</v>
      </c>
      <c r="H28" s="32">
        <f t="shared" si="5"/>
        <v>5256.3571666666667</v>
      </c>
      <c r="I28" s="32">
        <f t="shared" si="5"/>
        <v>4769.1826000000001</v>
      </c>
      <c r="J28" s="32">
        <f t="shared" si="5"/>
        <v>4282.0080333333335</v>
      </c>
      <c r="K28" s="32">
        <f t="shared" si="5"/>
        <v>4150.0250209979049</v>
      </c>
      <c r="L28" s="32">
        <f t="shared" si="5"/>
        <v>3640.3549892235933</v>
      </c>
      <c r="M28" s="32">
        <f t="shared" si="5"/>
        <v>3130.6849574492817</v>
      </c>
      <c r="N28" s="32">
        <f t="shared" si="5"/>
        <v>2621.0149256749701</v>
      </c>
      <c r="O28" s="32">
        <f t="shared" si="5"/>
        <v>2111.3448939006585</v>
      </c>
      <c r="P28" s="32">
        <f t="shared" si="5"/>
        <v>1601.6748621263469</v>
      </c>
      <c r="Q28" s="32">
        <f t="shared" si="5"/>
        <v>1092.0048303520352</v>
      </c>
      <c r="R28" s="32">
        <f t="shared" si="5"/>
        <v>582.33479857772363</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F8F00"/>
  </sheetPr>
  <dimension ref="A1:R11"/>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502</v>
      </c>
      <c r="B1" s="66"/>
      <c r="C1" s="66"/>
      <c r="D1" s="66"/>
      <c r="E1" s="66"/>
      <c r="F1" s="66"/>
      <c r="G1" s="66"/>
      <c r="H1" s="66"/>
      <c r="I1" s="66"/>
      <c r="J1" s="66"/>
      <c r="K1" s="66"/>
      <c r="L1" s="66"/>
      <c r="M1" s="66"/>
      <c r="N1" s="66"/>
      <c r="O1" s="66"/>
      <c r="P1" s="66"/>
      <c r="Q1" s="66"/>
      <c r="R1" s="66"/>
    </row>
    <row r="2" spans="1:18" ht="18" x14ac:dyDescent="0.25">
      <c r="A2" s="19" t="s">
        <v>391</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x14ac:dyDescent="0.25">
      <c r="A6" s="10" t="s">
        <v>392</v>
      </c>
      <c r="C6" s="18">
        <v>0</v>
      </c>
      <c r="D6" s="18">
        <f t="shared" ref="D6:R6" si="0">C10</f>
        <v>6628.6500000000005</v>
      </c>
      <c r="E6" s="18">
        <f t="shared" si="0"/>
        <v>6628.6500000000005</v>
      </c>
      <c r="F6" s="18">
        <f t="shared" si="0"/>
        <v>5855.1750000000002</v>
      </c>
      <c r="G6" s="18">
        <f t="shared" si="0"/>
        <v>5081.7</v>
      </c>
      <c r="H6" s="18">
        <f t="shared" si="0"/>
        <v>4308.2249999999995</v>
      </c>
      <c r="I6" s="18">
        <f t="shared" si="0"/>
        <v>3834.7499999999995</v>
      </c>
      <c r="J6" s="18">
        <f t="shared" si="0"/>
        <v>3361.2749999999996</v>
      </c>
      <c r="K6" s="18">
        <f t="shared" si="0"/>
        <v>2887.7999999999997</v>
      </c>
      <c r="L6" s="18">
        <f t="shared" si="0"/>
        <v>2414.3249999999998</v>
      </c>
      <c r="M6" s="18">
        <f t="shared" si="0"/>
        <v>1940.85</v>
      </c>
      <c r="N6" s="18">
        <f t="shared" si="0"/>
        <v>1467.375</v>
      </c>
      <c r="O6" s="18">
        <f t="shared" si="0"/>
        <v>993.9</v>
      </c>
      <c r="P6" s="18">
        <f t="shared" si="0"/>
        <v>520.42499999999995</v>
      </c>
      <c r="Q6" s="18">
        <f t="shared" si="0"/>
        <v>46.949999999999932</v>
      </c>
      <c r="R6" s="18">
        <f t="shared" si="0"/>
        <v>0</v>
      </c>
    </row>
    <row r="7" spans="1:18" x14ac:dyDescent="0.25">
      <c r="A7" s="10" t="s">
        <v>393</v>
      </c>
      <c r="C7" s="18">
        <v>0</v>
      </c>
      <c r="D7" s="18">
        <f>D6*Assumptions!$C$42</f>
        <v>679.43662500000005</v>
      </c>
      <c r="E7" s="18">
        <f>E6*Assumptions!$C$42</f>
        <v>679.43662500000005</v>
      </c>
      <c r="F7" s="18">
        <f>F6*Assumptions!$C$42</f>
        <v>600.15543749999995</v>
      </c>
      <c r="G7" s="18">
        <f>G6*Assumptions!$C$42</f>
        <v>520.87424999999996</v>
      </c>
      <c r="H7" s="18">
        <f>H6*Assumptions!$C$42</f>
        <v>441.59306249999992</v>
      </c>
      <c r="I7" s="18">
        <f>I6*Assumptions!$C$42</f>
        <v>393.06187499999993</v>
      </c>
      <c r="J7" s="18">
        <f>J6*Assumptions!$C$42</f>
        <v>344.53068749999994</v>
      </c>
      <c r="K7" s="18">
        <f>K6*Assumptions!$C$42</f>
        <v>295.99949999999995</v>
      </c>
      <c r="L7" s="18">
        <f>L6*Assumptions!$C$42</f>
        <v>247.46831249999997</v>
      </c>
      <c r="M7" s="18">
        <f>M6*Assumptions!$C$42</f>
        <v>198.93712499999998</v>
      </c>
      <c r="N7" s="18">
        <f>N6*Assumptions!$C$42</f>
        <v>150.40593749999999</v>
      </c>
      <c r="O7" s="18">
        <f>O6*Assumptions!$C$42</f>
        <v>101.87474999999999</v>
      </c>
      <c r="P7" s="18">
        <f>P6*Assumptions!$C$42</f>
        <v>53.34356249999999</v>
      </c>
      <c r="Q7" s="18">
        <f>Q6*Assumptions!$C$42</f>
        <v>4.8123749999999923</v>
      </c>
      <c r="R7" s="18">
        <f>R6*Assumptions!$C$42</f>
        <v>0</v>
      </c>
    </row>
    <row r="8" spans="1:18" x14ac:dyDescent="0.25">
      <c r="A8" s="10" t="s">
        <v>394</v>
      </c>
      <c r="C8" s="18">
        <v>0</v>
      </c>
      <c r="D8" s="18">
        <f>MIN(D6,IF(AND(1&gt;Assumptions!$C$44,1&lt;=Assumptions!$C$43),Assumptions!$C$38/MAX(1,Assumptions!$C$43-Assumptions!$C$44),0))</f>
        <v>0</v>
      </c>
      <c r="E8" s="18">
        <f>MIN(E6,IF(AND(2&gt;Assumptions!$C$44,2&lt;=Assumptions!$C$43),Assumptions!$C$38/MAX(1,Assumptions!$C$43-Assumptions!$C$44),0))</f>
        <v>473.47500000000002</v>
      </c>
      <c r="F8" s="18">
        <f>MIN(F6,IF(AND(3&gt;Assumptions!$C$44,3&lt;=Assumptions!$C$43),Assumptions!$C$38/MAX(1,Assumptions!$C$43-Assumptions!$C$44),0))</f>
        <v>473.47500000000002</v>
      </c>
      <c r="G8" s="18">
        <f>MIN(G6,IF(AND(4&gt;Assumptions!$C$44,4&lt;=Assumptions!$C$43),Assumptions!$C$38/MAX(1,Assumptions!$C$43-Assumptions!$C$44),0))</f>
        <v>473.47500000000002</v>
      </c>
      <c r="H8" s="18">
        <f>MIN(H6,IF(AND(5&gt;Assumptions!$C$44,5&lt;=Assumptions!$C$43),Assumptions!$C$38/MAX(1,Assumptions!$C$43-Assumptions!$C$44),0))</f>
        <v>473.47500000000002</v>
      </c>
      <c r="I8" s="18">
        <f>MIN(I6,IF(AND(6&gt;Assumptions!$C$44,6&lt;=Assumptions!$C$43),Assumptions!$C$38/MAX(1,Assumptions!$C$43-Assumptions!$C$44),0))</f>
        <v>473.47500000000002</v>
      </c>
      <c r="J8" s="18">
        <f>MIN(J6,IF(AND(7&gt;Assumptions!$C$44,7&lt;=Assumptions!$C$43),Assumptions!$C$38/MAX(1,Assumptions!$C$43-Assumptions!$C$44),0))</f>
        <v>473.47500000000002</v>
      </c>
      <c r="K8" s="18">
        <f>MIN(K6,IF(AND(8&gt;Assumptions!$C$44,8&lt;=Assumptions!$C$43),Assumptions!$C$38/MAX(1,Assumptions!$C$43-Assumptions!$C$44),0))</f>
        <v>473.47500000000002</v>
      </c>
      <c r="L8" s="18">
        <f>MIN(L6,IF(AND(9&gt;Assumptions!$C$44,9&lt;=Assumptions!$C$43),Assumptions!$C$38/MAX(1,Assumptions!$C$43-Assumptions!$C$44),0))</f>
        <v>473.47500000000002</v>
      </c>
      <c r="M8" s="18">
        <f>MIN(M6,IF(AND(10&gt;Assumptions!$C$44,10&lt;=Assumptions!$C$43),Assumptions!$C$38/MAX(1,Assumptions!$C$43-Assumptions!$C$44),0))</f>
        <v>473.47500000000002</v>
      </c>
      <c r="N8" s="18">
        <f>MIN(N6,IF(AND(11&gt;Assumptions!$C$44,11&lt;=Assumptions!$C$43),Assumptions!$C$38/MAX(1,Assumptions!$C$43-Assumptions!$C$44),0))</f>
        <v>473.47500000000002</v>
      </c>
      <c r="O8" s="18">
        <f>MIN(O6,IF(AND(12&gt;Assumptions!$C$44,12&lt;=Assumptions!$C$43),Assumptions!$C$38/MAX(1,Assumptions!$C$43-Assumptions!$C$44),0))</f>
        <v>473.47500000000002</v>
      </c>
      <c r="P8" s="18">
        <f>MIN(P6,IF(AND(13&gt;Assumptions!$C$44,13&lt;=Assumptions!$C$43),Assumptions!$C$38/MAX(1,Assumptions!$C$43-Assumptions!$C$44),0))</f>
        <v>473.47500000000002</v>
      </c>
      <c r="Q8" s="18">
        <f>MIN(Q6,IF(AND(14&gt;Assumptions!$C$44,14&lt;=Assumptions!$C$43),Assumptions!$C$38/MAX(1,Assumptions!$C$43-Assumptions!$C$44),0))</f>
        <v>46.949999999999932</v>
      </c>
      <c r="R8" s="18">
        <f>MIN(R6,IF(AND(15&gt;Assumptions!$C$44,15&lt;=Assumptions!$C$43),Assumptions!$C$38/MAX(1,Assumptions!$C$43-Assumptions!$C$44),0))</f>
        <v>0</v>
      </c>
    </row>
    <row r="9" spans="1:18" x14ac:dyDescent="0.25">
      <c r="A9" s="10" t="s">
        <v>395</v>
      </c>
      <c r="C9" s="18">
        <v>0</v>
      </c>
      <c r="D9" s="18">
        <v>0</v>
      </c>
      <c r="E9" s="18">
        <f>MIN(MAX(0,E6-E8),Assumptions!$C$34/3)</f>
        <v>300</v>
      </c>
      <c r="F9" s="18">
        <f>MIN(MAX(0,F6-F8),Assumptions!$C$34/3)</f>
        <v>300</v>
      </c>
      <c r="G9" s="18">
        <f>MIN(MAX(0,G6-G8),Assumptions!$C$34/3)</f>
        <v>300</v>
      </c>
      <c r="H9" s="18">
        <v>0</v>
      </c>
      <c r="I9" s="18">
        <v>0</v>
      </c>
      <c r="J9" s="18">
        <v>0</v>
      </c>
      <c r="K9" s="18">
        <v>0</v>
      </c>
      <c r="L9" s="18">
        <v>0</v>
      </c>
      <c r="M9" s="18">
        <v>0</v>
      </c>
      <c r="N9" s="18">
        <v>0</v>
      </c>
      <c r="O9" s="18">
        <v>0</v>
      </c>
      <c r="P9" s="18">
        <v>0</v>
      </c>
      <c r="Q9" s="18">
        <v>0</v>
      </c>
      <c r="R9" s="18">
        <v>0</v>
      </c>
    </row>
    <row r="10" spans="1:18" x14ac:dyDescent="0.25">
      <c r="A10" s="8" t="s">
        <v>396</v>
      </c>
      <c r="C10" s="32">
        <f>Assumptions!$C$38</f>
        <v>6628.6500000000005</v>
      </c>
      <c r="D10" s="32">
        <f t="shared" ref="D10:R10" si="1">MAX(0,D6-D8-D9)</f>
        <v>6628.6500000000005</v>
      </c>
      <c r="E10" s="32">
        <f t="shared" si="1"/>
        <v>5855.1750000000002</v>
      </c>
      <c r="F10" s="32">
        <f t="shared" si="1"/>
        <v>5081.7</v>
      </c>
      <c r="G10" s="32">
        <f t="shared" si="1"/>
        <v>4308.2249999999995</v>
      </c>
      <c r="H10" s="32">
        <f t="shared" si="1"/>
        <v>3834.7499999999995</v>
      </c>
      <c r="I10" s="32">
        <f t="shared" si="1"/>
        <v>3361.2749999999996</v>
      </c>
      <c r="J10" s="32">
        <f t="shared" si="1"/>
        <v>2887.7999999999997</v>
      </c>
      <c r="K10" s="32">
        <f t="shared" si="1"/>
        <v>2414.3249999999998</v>
      </c>
      <c r="L10" s="32">
        <f t="shared" si="1"/>
        <v>1940.85</v>
      </c>
      <c r="M10" s="32">
        <f t="shared" si="1"/>
        <v>1467.375</v>
      </c>
      <c r="N10" s="32">
        <f t="shared" si="1"/>
        <v>993.9</v>
      </c>
      <c r="O10" s="32">
        <f t="shared" si="1"/>
        <v>520.42499999999995</v>
      </c>
      <c r="P10" s="32">
        <f t="shared" si="1"/>
        <v>46.949999999999932</v>
      </c>
      <c r="Q10" s="32">
        <f t="shared" si="1"/>
        <v>0</v>
      </c>
      <c r="R10" s="32">
        <f t="shared" si="1"/>
        <v>0</v>
      </c>
    </row>
    <row r="11" spans="1:18" x14ac:dyDescent="0.25">
      <c r="A11" s="8" t="s">
        <v>397</v>
      </c>
      <c r="C11" s="32">
        <f t="shared" ref="C11:R11" si="2">C7+C8</f>
        <v>0</v>
      </c>
      <c r="D11" s="32">
        <f t="shared" si="2"/>
        <v>679.43662500000005</v>
      </c>
      <c r="E11" s="32">
        <f t="shared" si="2"/>
        <v>1152.9116250000002</v>
      </c>
      <c r="F11" s="32">
        <f t="shared" si="2"/>
        <v>1073.6304375</v>
      </c>
      <c r="G11" s="32">
        <f t="shared" si="2"/>
        <v>994.34924999999998</v>
      </c>
      <c r="H11" s="32">
        <f t="shared" si="2"/>
        <v>915.0680625</v>
      </c>
      <c r="I11" s="32">
        <f t="shared" si="2"/>
        <v>866.53687500000001</v>
      </c>
      <c r="J11" s="32">
        <f t="shared" si="2"/>
        <v>818.00568750000002</v>
      </c>
      <c r="K11" s="32">
        <f t="shared" si="2"/>
        <v>769.47450000000003</v>
      </c>
      <c r="L11" s="32">
        <f t="shared" si="2"/>
        <v>720.94331250000005</v>
      </c>
      <c r="M11" s="32">
        <f t="shared" si="2"/>
        <v>672.41212500000006</v>
      </c>
      <c r="N11" s="32">
        <f t="shared" si="2"/>
        <v>623.88093750000007</v>
      </c>
      <c r="O11" s="32">
        <f t="shared" si="2"/>
        <v>575.34974999999997</v>
      </c>
      <c r="P11" s="32">
        <f t="shared" si="2"/>
        <v>526.81856249999998</v>
      </c>
      <c r="Q11" s="32">
        <f t="shared" si="2"/>
        <v>51.762374999999921</v>
      </c>
      <c r="R11" s="32">
        <f t="shared" si="2"/>
        <v>0</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BF8F00"/>
  </sheetPr>
  <dimension ref="A1:R23"/>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501</v>
      </c>
      <c r="B1" s="66"/>
      <c r="C1" s="66"/>
      <c r="D1" s="66"/>
      <c r="E1" s="66"/>
      <c r="F1" s="66"/>
      <c r="G1" s="66"/>
      <c r="H1" s="66"/>
      <c r="I1" s="66"/>
      <c r="J1" s="66"/>
      <c r="K1" s="66"/>
      <c r="L1" s="66"/>
      <c r="M1" s="66"/>
      <c r="N1" s="66"/>
      <c r="O1" s="66"/>
      <c r="P1" s="66"/>
      <c r="Q1" s="66"/>
      <c r="R1" s="66"/>
    </row>
    <row r="2" spans="1:18" ht="18" x14ac:dyDescent="0.25">
      <c r="A2" s="19" t="s">
        <v>398</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x14ac:dyDescent="0.25">
      <c r="A6" s="10" t="s">
        <v>399</v>
      </c>
      <c r="C6" s="12">
        <f>Revenue!C7+Revenue!C9</f>
        <v>0</v>
      </c>
      <c r="D6" s="12">
        <f>Revenue!D7+Revenue!D9</f>
        <v>1650</v>
      </c>
      <c r="E6" s="12">
        <f>Revenue!E7+Revenue!E9</f>
        <v>1650</v>
      </c>
      <c r="F6" s="12">
        <f>Revenue!F7+Revenue!F9</f>
        <v>1650</v>
      </c>
      <c r="G6" s="12">
        <f>Revenue!G7+Revenue!G9</f>
        <v>1650</v>
      </c>
      <c r="H6" s="12">
        <f>Revenue!H7+Revenue!H9</f>
        <v>1650</v>
      </c>
      <c r="I6" s="12">
        <f>Revenue!I7+Revenue!I9</f>
        <v>1650</v>
      </c>
      <c r="J6" s="12">
        <f>Revenue!J7+Revenue!J9</f>
        <v>1650</v>
      </c>
      <c r="K6" s="12">
        <f>Revenue!K7+Revenue!K9</f>
        <v>1650</v>
      </c>
      <c r="L6" s="12">
        <f>Revenue!L7+Revenue!L9</f>
        <v>1650</v>
      </c>
      <c r="M6" s="12">
        <f>Revenue!M7+Revenue!M9</f>
        <v>1650</v>
      </c>
      <c r="N6" s="12">
        <f>Revenue!N7+Revenue!N9</f>
        <v>1650</v>
      </c>
      <c r="O6" s="12">
        <f>Revenue!O7+Revenue!O9</f>
        <v>1650</v>
      </c>
      <c r="P6" s="12">
        <f>Revenue!P7+Revenue!P9</f>
        <v>1650</v>
      </c>
      <c r="Q6" s="12">
        <f>Revenue!Q7+Revenue!Q9</f>
        <v>1650</v>
      </c>
      <c r="R6" s="12">
        <f>Revenue!R7+Revenue!R9</f>
        <v>1650</v>
      </c>
    </row>
    <row r="7" spans="1:18" x14ac:dyDescent="0.25">
      <c r="A7" s="10" t="s">
        <v>370</v>
      </c>
      <c r="C7" s="12">
        <f>Opex!C8</f>
        <v>0</v>
      </c>
      <c r="D7" s="12">
        <f>Opex!D8</f>
        <v>143.43369999999999</v>
      </c>
      <c r="E7" s="12">
        <f>Opex!E8</f>
        <v>149.05869999999999</v>
      </c>
      <c r="F7" s="12">
        <f>Opex!F8</f>
        <v>154.96494999999999</v>
      </c>
      <c r="G7" s="12">
        <f>Opex!G8</f>
        <v>161.16651250000001</v>
      </c>
      <c r="H7" s="12">
        <f>Opex!H8</f>
        <v>167.67815312499999</v>
      </c>
      <c r="I7" s="12">
        <f>Opex!I8</f>
        <v>174.51537578125004</v>
      </c>
      <c r="J7" s="12">
        <f>Opex!J8</f>
        <v>181.69445957031252</v>
      </c>
      <c r="K7" s="12">
        <f>Opex!K8</f>
        <v>189.23249754882818</v>
      </c>
      <c r="L7" s="12">
        <f>Opex!L8</f>
        <v>197.14743742626956</v>
      </c>
      <c r="M7" s="12">
        <f>Opex!M8</f>
        <v>205.45812429758303</v>
      </c>
      <c r="N7" s="12">
        <f>Opex!N8</f>
        <v>214.18434551246219</v>
      </c>
      <c r="O7" s="12">
        <f>Opex!O8</f>
        <v>223.34687778808529</v>
      </c>
      <c r="P7" s="12">
        <f>Opex!P8</f>
        <v>232.96753667748953</v>
      </c>
      <c r="Q7" s="12">
        <f>Opex!Q8</f>
        <v>243.06922851136403</v>
      </c>
      <c r="R7" s="12">
        <f>Opex!R8</f>
        <v>253.6760049369322</v>
      </c>
    </row>
    <row r="8" spans="1:18" x14ac:dyDescent="0.25">
      <c r="A8" s="8" t="s">
        <v>400</v>
      </c>
      <c r="C8" s="32">
        <f t="shared" ref="C8:R8" si="0">C6-C7</f>
        <v>0</v>
      </c>
      <c r="D8" s="32">
        <f t="shared" si="0"/>
        <v>1506.5663</v>
      </c>
      <c r="E8" s="32">
        <f t="shared" si="0"/>
        <v>1500.9413</v>
      </c>
      <c r="F8" s="32">
        <f t="shared" si="0"/>
        <v>1495.03505</v>
      </c>
      <c r="G8" s="32">
        <f t="shared" si="0"/>
        <v>1488.8334875</v>
      </c>
      <c r="H8" s="32">
        <f t="shared" si="0"/>
        <v>1482.3218468750001</v>
      </c>
      <c r="I8" s="32">
        <f t="shared" si="0"/>
        <v>1475.48462421875</v>
      </c>
      <c r="J8" s="32">
        <f t="shared" si="0"/>
        <v>1468.3055404296874</v>
      </c>
      <c r="K8" s="32">
        <f t="shared" si="0"/>
        <v>1460.7675024511718</v>
      </c>
      <c r="L8" s="32">
        <f t="shared" si="0"/>
        <v>1452.8525625737304</v>
      </c>
      <c r="M8" s="32">
        <f t="shared" si="0"/>
        <v>1444.541875702417</v>
      </c>
      <c r="N8" s="32">
        <f t="shared" si="0"/>
        <v>1435.8156544875378</v>
      </c>
      <c r="O8" s="32">
        <f t="shared" si="0"/>
        <v>1426.6531222119147</v>
      </c>
      <c r="P8" s="32">
        <f t="shared" si="0"/>
        <v>1417.0324633225105</v>
      </c>
      <c r="Q8" s="32">
        <f t="shared" si="0"/>
        <v>1406.9307714886359</v>
      </c>
      <c r="R8" s="32">
        <f t="shared" si="0"/>
        <v>1396.3239950630677</v>
      </c>
    </row>
    <row r="9" spans="1:18" x14ac:dyDescent="0.25">
      <c r="A9" s="10" t="s">
        <v>401</v>
      </c>
      <c r="C9" s="12">
        <v>0</v>
      </c>
      <c r="D9" s="12">
        <f>Assumptions!$C$34/Assumptions!$C$47</f>
        <v>60</v>
      </c>
      <c r="E9" s="12">
        <f>Assumptions!$C$34/Assumptions!$C$47</f>
        <v>60</v>
      </c>
      <c r="F9" s="12">
        <f>Assumptions!$C$34/Assumptions!$C$47</f>
        <v>60</v>
      </c>
      <c r="G9" s="12">
        <f>Assumptions!$C$34/Assumptions!$C$47</f>
        <v>60</v>
      </c>
      <c r="H9" s="12">
        <f>Assumptions!$C$34/Assumptions!$C$47</f>
        <v>60</v>
      </c>
      <c r="I9" s="12">
        <f>Assumptions!$C$34/Assumptions!$C$47</f>
        <v>60</v>
      </c>
      <c r="J9" s="12">
        <f>Assumptions!$C$34/Assumptions!$C$47</f>
        <v>60</v>
      </c>
      <c r="K9" s="12">
        <f>Assumptions!$C$34/Assumptions!$C$47</f>
        <v>60</v>
      </c>
      <c r="L9" s="12">
        <f>Assumptions!$C$34/Assumptions!$C$47</f>
        <v>60</v>
      </c>
      <c r="M9" s="12">
        <f>Assumptions!$C$34/Assumptions!$C$47</f>
        <v>60</v>
      </c>
      <c r="N9" s="12">
        <f>Assumptions!$C$34/Assumptions!$C$47</f>
        <v>60</v>
      </c>
      <c r="O9" s="12">
        <f>Assumptions!$C$34/Assumptions!$C$47</f>
        <v>60</v>
      </c>
      <c r="P9" s="12">
        <f>Assumptions!$C$34/Assumptions!$C$47</f>
        <v>60</v>
      </c>
      <c r="Q9" s="12">
        <f>Assumptions!$C$34/Assumptions!$C$47</f>
        <v>60</v>
      </c>
      <c r="R9" s="12">
        <f>Assumptions!$C$34/Assumptions!$C$47</f>
        <v>60</v>
      </c>
    </row>
    <row r="10" spans="1:18" x14ac:dyDescent="0.25">
      <c r="A10" s="8" t="s">
        <v>402</v>
      </c>
      <c r="C10" s="32">
        <f t="shared" ref="C10:R10" si="1">C8+C9</f>
        <v>0</v>
      </c>
      <c r="D10" s="32">
        <f t="shared" si="1"/>
        <v>1566.5663</v>
      </c>
      <c r="E10" s="32">
        <f t="shared" si="1"/>
        <v>1560.9413</v>
      </c>
      <c r="F10" s="32">
        <f t="shared" si="1"/>
        <v>1555.03505</v>
      </c>
      <c r="G10" s="32">
        <f t="shared" si="1"/>
        <v>1548.8334875</v>
      </c>
      <c r="H10" s="32">
        <f t="shared" si="1"/>
        <v>1542.3218468750001</v>
      </c>
      <c r="I10" s="32">
        <f t="shared" si="1"/>
        <v>1535.48462421875</v>
      </c>
      <c r="J10" s="32">
        <f t="shared" si="1"/>
        <v>1528.3055404296874</v>
      </c>
      <c r="K10" s="32">
        <f t="shared" si="1"/>
        <v>1520.7675024511718</v>
      </c>
      <c r="L10" s="32">
        <f t="shared" si="1"/>
        <v>1512.8525625737304</v>
      </c>
      <c r="M10" s="32">
        <f t="shared" si="1"/>
        <v>1504.541875702417</v>
      </c>
      <c r="N10" s="32">
        <f t="shared" si="1"/>
        <v>1495.8156544875378</v>
      </c>
      <c r="O10" s="32">
        <f t="shared" si="1"/>
        <v>1486.6531222119147</v>
      </c>
      <c r="P10" s="32">
        <f t="shared" si="1"/>
        <v>1477.0324633225105</v>
      </c>
      <c r="Q10" s="32">
        <f t="shared" si="1"/>
        <v>1466.9307714886359</v>
      </c>
      <c r="R10" s="32">
        <f t="shared" si="1"/>
        <v>1456.3239950630677</v>
      </c>
    </row>
    <row r="11" spans="1:18" x14ac:dyDescent="0.25">
      <c r="A11" s="10" t="s">
        <v>393</v>
      </c>
      <c r="C11" s="12">
        <f>'Debt Schedule'!C7</f>
        <v>0</v>
      </c>
      <c r="D11" s="12">
        <f>'Debt Schedule'!D7</f>
        <v>679.43662500000005</v>
      </c>
      <c r="E11" s="12">
        <f>'Debt Schedule'!E7</f>
        <v>679.43662500000005</v>
      </c>
      <c r="F11" s="12">
        <f>'Debt Schedule'!F7</f>
        <v>600.15543749999995</v>
      </c>
      <c r="G11" s="12">
        <f>'Debt Schedule'!G7</f>
        <v>520.87424999999996</v>
      </c>
      <c r="H11" s="12">
        <f>'Debt Schedule'!H7</f>
        <v>441.59306249999992</v>
      </c>
      <c r="I11" s="12">
        <f>'Debt Schedule'!I7</f>
        <v>393.06187499999993</v>
      </c>
      <c r="J11" s="12">
        <f>'Debt Schedule'!J7</f>
        <v>344.53068749999994</v>
      </c>
      <c r="K11" s="12">
        <f>'Debt Schedule'!K7</f>
        <v>295.99949999999995</v>
      </c>
      <c r="L11" s="12">
        <f>'Debt Schedule'!L7</f>
        <v>247.46831249999997</v>
      </c>
      <c r="M11" s="12">
        <f>'Debt Schedule'!M7</f>
        <v>198.93712499999998</v>
      </c>
      <c r="N11" s="12">
        <f>'Debt Schedule'!N7</f>
        <v>150.40593749999999</v>
      </c>
      <c r="O11" s="12">
        <f>'Debt Schedule'!O7</f>
        <v>101.87474999999999</v>
      </c>
      <c r="P11" s="12">
        <f>'Debt Schedule'!P7</f>
        <v>53.34356249999999</v>
      </c>
      <c r="Q11" s="12">
        <f>'Debt Schedule'!Q7</f>
        <v>4.8123749999999923</v>
      </c>
      <c r="R11" s="12">
        <f>'Debt Schedule'!R7</f>
        <v>0</v>
      </c>
    </row>
    <row r="13" spans="1:18" ht="18" customHeight="1" x14ac:dyDescent="0.25">
      <c r="A13" s="6" t="s">
        <v>403</v>
      </c>
      <c r="B13" s="7"/>
      <c r="C13" s="7"/>
      <c r="D13" s="7"/>
    </row>
    <row r="14" spans="1:18" x14ac:dyDescent="0.25">
      <c r="A14" s="10" t="s">
        <v>404</v>
      </c>
      <c r="C14" s="12">
        <f>Depreciation!C27</f>
        <v>0</v>
      </c>
      <c r="D14" s="12">
        <f>Depreciation!D27</f>
        <v>487.17456666666664</v>
      </c>
      <c r="E14" s="12">
        <f>Depreciation!E27</f>
        <v>487.17456666666664</v>
      </c>
      <c r="F14" s="12">
        <f>Depreciation!F27</f>
        <v>487.17456666666664</v>
      </c>
      <c r="G14" s="12">
        <f>Depreciation!G27</f>
        <v>487.17456666666664</v>
      </c>
      <c r="H14" s="12">
        <f>Depreciation!H27</f>
        <v>487.17456666666664</v>
      </c>
      <c r="I14" s="12">
        <f>Depreciation!I27</f>
        <v>487.17456666666664</v>
      </c>
      <c r="J14" s="12">
        <f>Depreciation!J27</f>
        <v>487.17456666666664</v>
      </c>
      <c r="K14" s="12">
        <f>Depreciation!K27</f>
        <v>487.17456666666664</v>
      </c>
      <c r="L14" s="12">
        <f>Depreciation!L27</f>
        <v>509.67003177431167</v>
      </c>
      <c r="M14" s="12">
        <f>Depreciation!M27</f>
        <v>509.67003177431167</v>
      </c>
      <c r="N14" s="12">
        <f>Depreciation!N27</f>
        <v>509.67003177431167</v>
      </c>
      <c r="O14" s="12">
        <f>Depreciation!O27</f>
        <v>509.67003177431167</v>
      </c>
      <c r="P14" s="12">
        <f>Depreciation!P27</f>
        <v>509.67003177431167</v>
      </c>
      <c r="Q14" s="12">
        <f>Depreciation!Q27</f>
        <v>509.67003177431167</v>
      </c>
      <c r="R14" s="12">
        <f>Depreciation!R27</f>
        <v>509.67003177431167</v>
      </c>
    </row>
    <row r="15" spans="1:18" x14ac:dyDescent="0.25">
      <c r="A15" s="10" t="s">
        <v>405</v>
      </c>
      <c r="C15" s="18">
        <f t="shared" ref="C15:R15" si="2">C8-C14+C9-C11</f>
        <v>0</v>
      </c>
      <c r="D15" s="18">
        <f t="shared" si="2"/>
        <v>399.95510833333333</v>
      </c>
      <c r="E15" s="18">
        <f t="shared" si="2"/>
        <v>394.33010833333333</v>
      </c>
      <c r="F15" s="18">
        <f t="shared" si="2"/>
        <v>467.70504583333343</v>
      </c>
      <c r="G15" s="18">
        <f t="shared" si="2"/>
        <v>540.78467083333351</v>
      </c>
      <c r="H15" s="18">
        <f t="shared" si="2"/>
        <v>613.55421770833368</v>
      </c>
      <c r="I15" s="18">
        <f t="shared" si="2"/>
        <v>655.24818255208356</v>
      </c>
      <c r="J15" s="18">
        <f t="shared" si="2"/>
        <v>696.60028626302096</v>
      </c>
      <c r="K15" s="18">
        <f t="shared" si="2"/>
        <v>737.59343578450535</v>
      </c>
      <c r="L15" s="18">
        <f t="shared" si="2"/>
        <v>755.71421829941892</v>
      </c>
      <c r="M15" s="18">
        <f t="shared" si="2"/>
        <v>795.93471892810544</v>
      </c>
      <c r="N15" s="18">
        <f t="shared" si="2"/>
        <v>835.73968521322627</v>
      </c>
      <c r="O15" s="18">
        <f t="shared" si="2"/>
        <v>875.10834043760315</v>
      </c>
      <c r="P15" s="18">
        <f t="shared" si="2"/>
        <v>914.01886904819889</v>
      </c>
      <c r="Q15" s="18">
        <f t="shared" si="2"/>
        <v>952.44836471432427</v>
      </c>
      <c r="R15" s="18">
        <f t="shared" si="2"/>
        <v>946.65396328875613</v>
      </c>
    </row>
    <row r="17" spans="1:18" ht="18" customHeight="1" x14ac:dyDescent="0.25">
      <c r="A17" s="6" t="s">
        <v>406</v>
      </c>
      <c r="B17" s="7"/>
      <c r="C17" s="7"/>
      <c r="D17" s="7"/>
    </row>
    <row r="18" spans="1:18" x14ac:dyDescent="0.25">
      <c r="A18" s="10" t="s">
        <v>407</v>
      </c>
      <c r="C18" s="12">
        <f>Depreciation!C18</f>
        <v>0</v>
      </c>
      <c r="D18" s="12">
        <f>Depreciation!D18</f>
        <v>1087.548</v>
      </c>
      <c r="E18" s="12">
        <f>Depreciation!E18</f>
        <v>931.04444999999987</v>
      </c>
      <c r="F18" s="12">
        <f>Depreciation!F18</f>
        <v>797.35356749999994</v>
      </c>
      <c r="G18" s="12">
        <f>Depreciation!G18</f>
        <v>683.11973887499994</v>
      </c>
      <c r="H18" s="12">
        <f>Depreciation!H18</f>
        <v>585.48406389374998</v>
      </c>
      <c r="I18" s="12">
        <f>Depreciation!I18</f>
        <v>502.01051157468748</v>
      </c>
      <c r="J18" s="12">
        <f>Depreciation!J18</f>
        <v>430.6230863769843</v>
      </c>
      <c r="K18" s="12">
        <f>Depreciation!K18</f>
        <v>422.83109295477243</v>
      </c>
      <c r="L18" s="12">
        <f>Depreciation!L18</f>
        <v>362.57689175774158</v>
      </c>
      <c r="M18" s="12">
        <f>Depreciation!M18</f>
        <v>311.04377446564683</v>
      </c>
      <c r="N18" s="12">
        <f>Depreciation!N18</f>
        <v>266.95528312020969</v>
      </c>
      <c r="O18" s="12">
        <f>Depreciation!O18</f>
        <v>229.2232579941471</v>
      </c>
      <c r="P18" s="12">
        <f>Depreciation!P18</f>
        <v>196.919909902797</v>
      </c>
      <c r="Q18" s="12">
        <f>Depreciation!Q18</f>
        <v>169.25404996437223</v>
      </c>
      <c r="R18" s="12">
        <f>Depreciation!R18</f>
        <v>145.5508563620117</v>
      </c>
    </row>
    <row r="19" spans="1:18" x14ac:dyDescent="0.25">
      <c r="A19" s="10" t="s">
        <v>408</v>
      </c>
      <c r="C19" s="12">
        <f>Depreciation!C22-Depreciation!C23</f>
        <v>0</v>
      </c>
      <c r="D19" s="12">
        <f>Depreciation!D22-Depreciation!D23</f>
        <v>0</v>
      </c>
      <c r="E19" s="12">
        <f>Depreciation!E22-Depreciation!E23</f>
        <v>0</v>
      </c>
      <c r="F19" s="12">
        <f>Depreciation!F22-Depreciation!F23</f>
        <v>0</v>
      </c>
      <c r="G19" s="12">
        <f>Depreciation!G22-Depreciation!G23</f>
        <v>0</v>
      </c>
      <c r="H19" s="12">
        <f>Depreciation!H22-Depreciation!H23</f>
        <v>0</v>
      </c>
      <c r="I19" s="12">
        <f>Depreciation!I22-Depreciation!I23</f>
        <v>0</v>
      </c>
      <c r="J19" s="12">
        <f>Depreciation!J22-Depreciation!J23</f>
        <v>0</v>
      </c>
      <c r="K19" s="12">
        <f>Depreciation!K22-Depreciation!K23</f>
        <v>0</v>
      </c>
      <c r="L19" s="12">
        <f>Depreciation!L22-Depreciation!L23</f>
        <v>0</v>
      </c>
      <c r="M19" s="12">
        <f>Depreciation!M22-Depreciation!M23</f>
        <v>0</v>
      </c>
      <c r="N19" s="12">
        <f>Depreciation!N22-Depreciation!N23</f>
        <v>0</v>
      </c>
      <c r="O19" s="12">
        <f>Depreciation!O22-Depreciation!O23</f>
        <v>0</v>
      </c>
      <c r="P19" s="12">
        <f>Depreciation!P22-Depreciation!P23</f>
        <v>0</v>
      </c>
      <c r="Q19" s="12">
        <f>Depreciation!Q22-Depreciation!Q23</f>
        <v>0</v>
      </c>
      <c r="R19" s="12">
        <f>Depreciation!R22-Depreciation!R23</f>
        <v>303.32303096272119</v>
      </c>
    </row>
    <row r="20" spans="1:18" x14ac:dyDescent="0.25">
      <c r="A20" s="10" t="s">
        <v>409</v>
      </c>
      <c r="C20" s="18">
        <f t="shared" ref="C20:R20" si="3">C8-C18+C9-C11+C19</f>
        <v>0</v>
      </c>
      <c r="D20" s="18">
        <f t="shared" si="3"/>
        <v>-200.4183250000001</v>
      </c>
      <c r="E20" s="18">
        <f t="shared" si="3"/>
        <v>-49.539774999999963</v>
      </c>
      <c r="F20" s="18">
        <f t="shared" si="3"/>
        <v>157.52604500000007</v>
      </c>
      <c r="G20" s="18">
        <f t="shared" si="3"/>
        <v>344.83949862500015</v>
      </c>
      <c r="H20" s="18">
        <f t="shared" si="3"/>
        <v>515.24472048125017</v>
      </c>
      <c r="I20" s="18">
        <f t="shared" si="3"/>
        <v>640.41223764406277</v>
      </c>
      <c r="J20" s="18">
        <f t="shared" si="3"/>
        <v>753.15176655270329</v>
      </c>
      <c r="K20" s="18">
        <f t="shared" si="3"/>
        <v>801.93690949639949</v>
      </c>
      <c r="L20" s="18">
        <f t="shared" si="3"/>
        <v>902.80735831598895</v>
      </c>
      <c r="M20" s="18">
        <f t="shared" si="3"/>
        <v>994.56097623677033</v>
      </c>
      <c r="N20" s="18">
        <f t="shared" si="3"/>
        <v>1078.4544338673281</v>
      </c>
      <c r="O20" s="18">
        <f t="shared" si="3"/>
        <v>1155.5551142177676</v>
      </c>
      <c r="P20" s="18">
        <f t="shared" si="3"/>
        <v>1226.7689909197136</v>
      </c>
      <c r="Q20" s="18">
        <f t="shared" si="3"/>
        <v>1292.8643465242637</v>
      </c>
      <c r="R20" s="18">
        <f t="shared" si="3"/>
        <v>1614.0961696637773</v>
      </c>
    </row>
    <row r="21" spans="1:18" x14ac:dyDescent="0.25">
      <c r="A21" s="8" t="s">
        <v>410</v>
      </c>
      <c r="C21" s="32">
        <f>MAX(0,C20)*Assumptions!$C$67</f>
        <v>0</v>
      </c>
      <c r="D21" s="32">
        <f>MAX(0,D20)*Assumptions!$C$67</f>
        <v>0</v>
      </c>
      <c r="E21" s="32">
        <f>MAX(0,E20)*Assumptions!$C$67</f>
        <v>0</v>
      </c>
      <c r="F21" s="32">
        <f>MAX(0,F20)*Assumptions!$C$67</f>
        <v>39.649305526500015</v>
      </c>
      <c r="G21" s="32">
        <f>MAX(0,G20)*Assumptions!$C$67</f>
        <v>86.796101803912535</v>
      </c>
      <c r="H21" s="32">
        <f>MAX(0,H20)*Assumptions!$C$67</f>
        <v>129.68709614513065</v>
      </c>
      <c r="I21" s="32">
        <f>MAX(0,I20)*Assumptions!$C$67</f>
        <v>161.19176021501059</v>
      </c>
      <c r="J21" s="32">
        <f>MAX(0,J20)*Assumptions!$C$67</f>
        <v>189.56829964131541</v>
      </c>
      <c r="K21" s="32">
        <f>MAX(0,K20)*Assumptions!$C$67</f>
        <v>201.84752012024373</v>
      </c>
      <c r="L21" s="32">
        <f>MAX(0,L20)*Assumptions!$C$67</f>
        <v>227.23661208813439</v>
      </c>
      <c r="M21" s="32">
        <f>MAX(0,M20)*Assumptions!$C$67</f>
        <v>250.33099771879506</v>
      </c>
      <c r="N21" s="32">
        <f>MAX(0,N20)*Assumptions!$C$67</f>
        <v>271.4469810044065</v>
      </c>
      <c r="O21" s="32">
        <f>MAX(0,O20)*Assumptions!$C$67</f>
        <v>290.8532222486121</v>
      </c>
      <c r="P21" s="32">
        <f>MAX(0,P20)*Assumptions!$C$67</f>
        <v>308.7777550144919</v>
      </c>
      <c r="Q21" s="32">
        <f>MAX(0,Q20)*Assumptions!$C$67</f>
        <v>325.41395602015717</v>
      </c>
      <c r="R21" s="32">
        <f>MAX(0,R20)*Assumptions!$C$67</f>
        <v>406.26800590437273</v>
      </c>
    </row>
    <row r="23" spans="1:18" x14ac:dyDescent="0.25">
      <c r="A23" s="8" t="s">
        <v>411</v>
      </c>
      <c r="C23" s="32">
        <f t="shared" ref="C23:R23" si="4">C15-C21</f>
        <v>0</v>
      </c>
      <c r="D23" s="32">
        <f t="shared" si="4"/>
        <v>399.95510833333333</v>
      </c>
      <c r="E23" s="32">
        <f t="shared" si="4"/>
        <v>394.33010833333333</v>
      </c>
      <c r="F23" s="32">
        <f t="shared" si="4"/>
        <v>428.0557403068334</v>
      </c>
      <c r="G23" s="32">
        <f t="shared" si="4"/>
        <v>453.988569029421</v>
      </c>
      <c r="H23" s="32">
        <f t="shared" si="4"/>
        <v>483.867121563203</v>
      </c>
      <c r="I23" s="32">
        <f t="shared" si="4"/>
        <v>494.05642233707295</v>
      </c>
      <c r="J23" s="32">
        <f t="shared" si="4"/>
        <v>507.03198662170553</v>
      </c>
      <c r="K23" s="32">
        <f t="shared" si="4"/>
        <v>535.74591566426159</v>
      </c>
      <c r="L23" s="32">
        <f t="shared" si="4"/>
        <v>528.47760621128452</v>
      </c>
      <c r="M23" s="32">
        <f t="shared" si="4"/>
        <v>545.60372120931038</v>
      </c>
      <c r="N23" s="32">
        <f t="shared" si="4"/>
        <v>564.29270420881971</v>
      </c>
      <c r="O23" s="32">
        <f t="shared" si="4"/>
        <v>584.25511818899099</v>
      </c>
      <c r="P23" s="32">
        <f t="shared" si="4"/>
        <v>605.24111403370694</v>
      </c>
      <c r="Q23" s="32">
        <f t="shared" si="4"/>
        <v>627.03440869416704</v>
      </c>
      <c r="R23" s="32">
        <f t="shared" si="4"/>
        <v>540.38595738438335</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00000"/>
  </sheetPr>
  <dimension ref="A1:R46"/>
  <sheetViews>
    <sheetView showGridLines="0" zoomScaleNormal="100" workbookViewId="0">
      <pane xSplit="3" ySplit="4" topLeftCell="D5" activePane="bottomRight" state="frozen"/>
      <selection pane="topRight" activeCell="D1" sqref="D1"/>
      <selection pane="bottomLeft" activeCell="A5" sqref="A5"/>
      <selection pane="bottomRight" activeCell="C39" sqref="C39"/>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500</v>
      </c>
      <c r="B1" s="66"/>
      <c r="C1" s="66"/>
      <c r="D1" s="66"/>
      <c r="E1" s="66"/>
      <c r="F1" s="66"/>
      <c r="G1" s="66"/>
      <c r="H1" s="66"/>
      <c r="I1" s="66"/>
      <c r="J1" s="66"/>
      <c r="K1" s="66"/>
      <c r="L1" s="66"/>
      <c r="M1" s="66"/>
      <c r="N1" s="66"/>
      <c r="O1" s="66"/>
      <c r="P1" s="66"/>
      <c r="Q1" s="66"/>
      <c r="R1" s="66"/>
    </row>
    <row r="2" spans="1:18" ht="18" x14ac:dyDescent="0.25">
      <c r="A2" s="19" t="s">
        <v>128</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ht="18" customHeight="1" x14ac:dyDescent="0.25">
      <c r="A6" s="6" t="s">
        <v>412</v>
      </c>
      <c r="B6" s="7"/>
      <c r="C6" s="7"/>
      <c r="D6" s="7"/>
    </row>
    <row r="7" spans="1:18" x14ac:dyDescent="0.25">
      <c r="A7" s="13" t="s">
        <v>413</v>
      </c>
    </row>
    <row r="8" spans="1:18" x14ac:dyDescent="0.25">
      <c r="A8" s="8" t="s">
        <v>414</v>
      </c>
      <c r="C8" s="32">
        <f>-Assumptions!$C$20</f>
        <v>-8838.2000000000007</v>
      </c>
      <c r="D8" s="18">
        <v>0</v>
      </c>
      <c r="E8" s="18">
        <v>0</v>
      </c>
      <c r="F8" s="18">
        <v>0</v>
      </c>
      <c r="G8" s="18">
        <v>0</v>
      </c>
      <c r="H8" s="18">
        <v>0</v>
      </c>
      <c r="I8" s="18">
        <v>0</v>
      </c>
      <c r="J8" s="18">
        <v>0</v>
      </c>
      <c r="K8" s="18">
        <v>0</v>
      </c>
      <c r="L8" s="18">
        <v>0</v>
      </c>
      <c r="M8" s="18">
        <v>0</v>
      </c>
      <c r="N8" s="18">
        <v>0</v>
      </c>
      <c r="O8" s="18">
        <v>0</v>
      </c>
      <c r="P8" s="18">
        <v>0</v>
      </c>
      <c r="Q8" s="18">
        <v>0</v>
      </c>
      <c r="R8" s="18">
        <v>0</v>
      </c>
    </row>
    <row r="9" spans="1:18" x14ac:dyDescent="0.25">
      <c r="A9" s="10" t="s">
        <v>415</v>
      </c>
      <c r="C9" s="18">
        <f>Assumptions!$C$38</f>
        <v>6628.6500000000005</v>
      </c>
      <c r="D9" s="18">
        <v>0</v>
      </c>
      <c r="E9" s="18">
        <v>0</v>
      </c>
      <c r="F9" s="18">
        <v>0</v>
      </c>
      <c r="G9" s="18">
        <v>0</v>
      </c>
      <c r="H9" s="18">
        <v>0</v>
      </c>
      <c r="I9" s="18">
        <v>0</v>
      </c>
      <c r="J9" s="18">
        <v>0</v>
      </c>
      <c r="K9" s="18">
        <v>0</v>
      </c>
      <c r="L9" s="18">
        <v>0</v>
      </c>
      <c r="M9" s="18">
        <v>0</v>
      </c>
      <c r="N9" s="18">
        <v>0</v>
      </c>
      <c r="O9" s="18">
        <v>0</v>
      </c>
      <c r="P9" s="18">
        <v>0</v>
      </c>
      <c r="Q9" s="18">
        <v>0</v>
      </c>
      <c r="R9" s="18">
        <v>0</v>
      </c>
    </row>
    <row r="10" spans="1:18" x14ac:dyDescent="0.25">
      <c r="A10" s="10" t="s">
        <v>416</v>
      </c>
      <c r="C10" s="18">
        <f>Assumptions!$C$39</f>
        <v>2209.5500000000002</v>
      </c>
      <c r="D10" s="18">
        <v>0</v>
      </c>
      <c r="E10" s="18">
        <v>0</v>
      </c>
      <c r="F10" s="18">
        <v>0</v>
      </c>
      <c r="G10" s="18">
        <v>0</v>
      </c>
      <c r="H10" s="18">
        <v>0</v>
      </c>
      <c r="I10" s="18">
        <v>0</v>
      </c>
      <c r="J10" s="18">
        <v>0</v>
      </c>
      <c r="K10" s="18">
        <v>0</v>
      </c>
      <c r="L10" s="18">
        <v>0</v>
      </c>
      <c r="M10" s="18">
        <v>0</v>
      </c>
      <c r="N10" s="18">
        <v>0</v>
      </c>
      <c r="O10" s="18">
        <v>0</v>
      </c>
      <c r="P10" s="18">
        <v>0</v>
      </c>
      <c r="Q10" s="18">
        <v>0</v>
      </c>
      <c r="R10" s="18">
        <v>0</v>
      </c>
    </row>
    <row r="11" spans="1:18" x14ac:dyDescent="0.25">
      <c r="A11" s="8" t="s">
        <v>417</v>
      </c>
      <c r="C11" s="32">
        <f>C8+C9+C10</f>
        <v>0</v>
      </c>
      <c r="D11" s="32">
        <v>0</v>
      </c>
      <c r="E11" s="32">
        <v>0</v>
      </c>
      <c r="F11" s="32">
        <v>0</v>
      </c>
      <c r="G11" s="32">
        <v>0</v>
      </c>
      <c r="H11" s="32">
        <v>0</v>
      </c>
      <c r="I11" s="32">
        <v>0</v>
      </c>
      <c r="J11" s="32">
        <v>0</v>
      </c>
      <c r="K11" s="32">
        <v>0</v>
      </c>
      <c r="L11" s="32">
        <v>0</v>
      </c>
      <c r="M11" s="32">
        <v>0</v>
      </c>
      <c r="N11" s="32">
        <v>0</v>
      </c>
      <c r="O11" s="32">
        <v>0</v>
      </c>
      <c r="P11" s="32">
        <v>0</v>
      </c>
      <c r="Q11" s="32">
        <v>0</v>
      </c>
      <c r="R11" s="32">
        <v>0</v>
      </c>
    </row>
    <row r="13" spans="1:18" x14ac:dyDescent="0.25">
      <c r="A13" s="10" t="s">
        <v>418</v>
      </c>
      <c r="C13" s="18">
        <f>'P&amp;L'!C23</f>
        <v>0</v>
      </c>
      <c r="D13" s="18">
        <f>'P&amp;L'!D23</f>
        <v>399.95510833333333</v>
      </c>
      <c r="E13" s="18">
        <f>'P&amp;L'!E23</f>
        <v>394.33010833333333</v>
      </c>
      <c r="F13" s="18">
        <f>'P&amp;L'!F23</f>
        <v>428.0557403068334</v>
      </c>
      <c r="G13" s="18">
        <f>'P&amp;L'!G23</f>
        <v>453.988569029421</v>
      </c>
      <c r="H13" s="18">
        <f>'P&amp;L'!H23</f>
        <v>483.867121563203</v>
      </c>
      <c r="I13" s="18">
        <f>'P&amp;L'!I23</f>
        <v>494.05642233707295</v>
      </c>
      <c r="J13" s="18">
        <f>'P&amp;L'!J23</f>
        <v>507.03198662170553</v>
      </c>
      <c r="K13" s="18">
        <f>'P&amp;L'!K23</f>
        <v>535.74591566426159</v>
      </c>
      <c r="L13" s="18">
        <f>'P&amp;L'!L23</f>
        <v>528.47760621128452</v>
      </c>
      <c r="M13" s="18">
        <f>'P&amp;L'!M23</f>
        <v>545.60372120931038</v>
      </c>
      <c r="N13" s="18">
        <f>'P&amp;L'!N23</f>
        <v>564.29270420881971</v>
      </c>
      <c r="O13" s="18">
        <f>'P&amp;L'!O23</f>
        <v>584.25511818899099</v>
      </c>
      <c r="P13" s="18">
        <f>'P&amp;L'!P23</f>
        <v>605.24111403370694</v>
      </c>
      <c r="Q13" s="18">
        <f>'P&amp;L'!Q23</f>
        <v>627.03440869416704</v>
      </c>
      <c r="R13" s="18">
        <f>'P&amp;L'!R23</f>
        <v>540.38595738438335</v>
      </c>
    </row>
    <row r="14" spans="1:18" x14ac:dyDescent="0.25">
      <c r="A14" s="10" t="s">
        <v>419</v>
      </c>
      <c r="C14" s="18">
        <f>'P&amp;L'!C14</f>
        <v>0</v>
      </c>
      <c r="D14" s="18">
        <f>'P&amp;L'!D14</f>
        <v>487.17456666666664</v>
      </c>
      <c r="E14" s="18">
        <f>'P&amp;L'!E14</f>
        <v>487.17456666666664</v>
      </c>
      <c r="F14" s="18">
        <f>'P&amp;L'!F14</f>
        <v>487.17456666666664</v>
      </c>
      <c r="G14" s="18">
        <f>'P&amp;L'!G14</f>
        <v>487.17456666666664</v>
      </c>
      <c r="H14" s="18">
        <f>'P&amp;L'!H14</f>
        <v>487.17456666666664</v>
      </c>
      <c r="I14" s="18">
        <f>'P&amp;L'!I14</f>
        <v>487.17456666666664</v>
      </c>
      <c r="J14" s="18">
        <f>'P&amp;L'!J14</f>
        <v>487.17456666666664</v>
      </c>
      <c r="K14" s="18">
        <f>'P&amp;L'!K14</f>
        <v>487.17456666666664</v>
      </c>
      <c r="L14" s="18">
        <f>'P&amp;L'!L14</f>
        <v>509.67003177431167</v>
      </c>
      <c r="M14" s="18">
        <f>'P&amp;L'!M14</f>
        <v>509.67003177431167</v>
      </c>
      <c r="N14" s="18">
        <f>'P&amp;L'!N14</f>
        <v>509.67003177431167</v>
      </c>
      <c r="O14" s="18">
        <f>'P&amp;L'!O14</f>
        <v>509.67003177431167</v>
      </c>
      <c r="P14" s="18">
        <f>'P&amp;L'!P14</f>
        <v>509.67003177431167</v>
      </c>
      <c r="Q14" s="18">
        <f>'P&amp;L'!Q14</f>
        <v>509.67003177431167</v>
      </c>
      <c r="R14" s="18">
        <f>'P&amp;L'!R14</f>
        <v>509.67003177431167</v>
      </c>
    </row>
    <row r="15" spans="1:18" x14ac:dyDescent="0.25">
      <c r="A15" s="10" t="s">
        <v>420</v>
      </c>
      <c r="C15" s="18">
        <f>'Degradation-Augmentation'!C18</f>
        <v>0</v>
      </c>
      <c r="D15" s="18">
        <f>'Degradation-Augmentation'!D18</f>
        <v>0</v>
      </c>
      <c r="E15" s="18">
        <f>'Degradation-Augmentation'!E18</f>
        <v>0</v>
      </c>
      <c r="F15" s="18">
        <f>'Degradation-Augmentation'!F18</f>
        <v>0</v>
      </c>
      <c r="G15" s="18">
        <f>'Degradation-Augmentation'!G18</f>
        <v>0</v>
      </c>
      <c r="H15" s="18">
        <f>'Degradation-Augmentation'!H18</f>
        <v>0</v>
      </c>
      <c r="I15" s="18">
        <f>'Degradation-Augmentation'!I18</f>
        <v>0</v>
      </c>
      <c r="J15" s="18">
        <f>'Degradation-Augmentation'!J18</f>
        <v>0</v>
      </c>
      <c r="K15" s="18">
        <f>'Degradation-Augmentation'!K18</f>
        <v>355.19155433123808</v>
      </c>
      <c r="L15" s="18">
        <f>'Degradation-Augmentation'!L18</f>
        <v>0</v>
      </c>
      <c r="M15" s="18">
        <f>'Degradation-Augmentation'!M18</f>
        <v>0</v>
      </c>
      <c r="N15" s="18">
        <f>'Degradation-Augmentation'!N18</f>
        <v>0</v>
      </c>
      <c r="O15" s="18">
        <f>'Degradation-Augmentation'!O18</f>
        <v>0</v>
      </c>
      <c r="P15" s="18">
        <f>'Degradation-Augmentation'!P18</f>
        <v>0</v>
      </c>
      <c r="Q15" s="18">
        <f>'Degradation-Augmentation'!Q18</f>
        <v>0</v>
      </c>
      <c r="R15" s="18">
        <f>'Degradation-Augmentation'!R18</f>
        <v>0</v>
      </c>
    </row>
    <row r="16" spans="1:18" x14ac:dyDescent="0.25">
      <c r="A16" s="8" t="s">
        <v>421</v>
      </c>
      <c r="C16" s="32">
        <f>C13+C14+'P&amp;L'!C11-'P&amp;L'!C9</f>
        <v>0</v>
      </c>
      <c r="D16" s="32">
        <f>D13+D14+'P&amp;L'!D11-'P&amp;L'!D9</f>
        <v>1506.5663</v>
      </c>
      <c r="E16" s="32">
        <f>E13+E14+'P&amp;L'!E11-'P&amp;L'!E9</f>
        <v>1500.9413</v>
      </c>
      <c r="F16" s="32">
        <f>F13+F14+'P&amp;L'!F11-'P&amp;L'!F9</f>
        <v>1455.3857444734999</v>
      </c>
      <c r="G16" s="32">
        <f>G13+G14+'P&amp;L'!G11-'P&amp;L'!G9</f>
        <v>1402.0373856960878</v>
      </c>
      <c r="H16" s="32">
        <f>H13+H14+'P&amp;L'!H11-'P&amp;L'!H9</f>
        <v>1352.6347507298694</v>
      </c>
      <c r="I16" s="32">
        <f>I13+I14+'P&amp;L'!I11-'P&amp;L'!I9</f>
        <v>1314.2928640037394</v>
      </c>
      <c r="J16" s="32">
        <f>J13+J14+'P&amp;L'!J11-'P&amp;L'!J9</f>
        <v>1278.737240788372</v>
      </c>
      <c r="K16" s="32">
        <f>K13+K14+'P&amp;L'!K11-'P&amp;L'!K9</f>
        <v>1258.9199823309282</v>
      </c>
      <c r="L16" s="32">
        <f>L13+L14+'P&amp;L'!L11-'P&amp;L'!L9</f>
        <v>1225.6159504855962</v>
      </c>
      <c r="M16" s="32">
        <f>M13+M14+'P&amp;L'!M11-'P&amp;L'!M9</f>
        <v>1194.2108779836219</v>
      </c>
      <c r="N16" s="32">
        <f>N13+N14+'P&amp;L'!N11-'P&amp;L'!N9</f>
        <v>1164.3686734831313</v>
      </c>
      <c r="O16" s="32">
        <f>O13+O14+'P&amp;L'!O11-'P&amp;L'!O9</f>
        <v>1135.7998999633026</v>
      </c>
      <c r="P16" s="32">
        <f>P13+P14+'P&amp;L'!P11-'P&amp;L'!P9</f>
        <v>1108.2547083080185</v>
      </c>
      <c r="Q16" s="32">
        <f>Q13+Q14+'P&amp;L'!Q11-'P&amp;L'!Q9</f>
        <v>1081.5168154684786</v>
      </c>
      <c r="R16" s="32">
        <f>R13+R14+'P&amp;L'!R11-'P&amp;L'!R9</f>
        <v>990.05598915869496</v>
      </c>
    </row>
    <row r="17" spans="1:18" x14ac:dyDescent="0.25">
      <c r="A17" s="10" t="s">
        <v>422</v>
      </c>
      <c r="C17" s="18">
        <f>'Debt Schedule'!C11</f>
        <v>0</v>
      </c>
      <c r="D17" s="18">
        <f>'Debt Schedule'!D11</f>
        <v>679.43662500000005</v>
      </c>
      <c r="E17" s="18">
        <f>'Debt Schedule'!E11</f>
        <v>1152.9116250000002</v>
      </c>
      <c r="F17" s="18">
        <f>'Debt Schedule'!F11</f>
        <v>1073.6304375</v>
      </c>
      <c r="G17" s="18">
        <f>'Debt Schedule'!G11</f>
        <v>994.34924999999998</v>
      </c>
      <c r="H17" s="18">
        <f>'Debt Schedule'!H11</f>
        <v>915.0680625</v>
      </c>
      <c r="I17" s="18">
        <f>'Debt Schedule'!I11</f>
        <v>866.53687500000001</v>
      </c>
      <c r="J17" s="18">
        <f>'Debt Schedule'!J11</f>
        <v>818.00568750000002</v>
      </c>
      <c r="K17" s="18">
        <f>'Debt Schedule'!K11</f>
        <v>769.47450000000003</v>
      </c>
      <c r="L17" s="18">
        <f>'Debt Schedule'!L11</f>
        <v>720.94331250000005</v>
      </c>
      <c r="M17" s="18">
        <f>'Debt Schedule'!M11</f>
        <v>672.41212500000006</v>
      </c>
      <c r="N17" s="18">
        <f>'Debt Schedule'!N11</f>
        <v>623.88093750000007</v>
      </c>
      <c r="O17" s="18">
        <f>'Debt Schedule'!O11</f>
        <v>575.34974999999997</v>
      </c>
      <c r="P17" s="18">
        <f>'Debt Schedule'!P11</f>
        <v>526.81856249999998</v>
      </c>
      <c r="Q17" s="18">
        <f>'Debt Schedule'!Q11</f>
        <v>51.762374999999921</v>
      </c>
      <c r="R17" s="18">
        <f>'Debt Schedule'!R11</f>
        <v>0</v>
      </c>
    </row>
    <row r="18" spans="1:18" x14ac:dyDescent="0.25">
      <c r="A18" s="8" t="s">
        <v>423</v>
      </c>
      <c r="C18" s="52" t="str">
        <f>"n/a"</f>
        <v>n/a</v>
      </c>
      <c r="D18" s="53">
        <f t="shared" ref="D18:R18" si="0">IF(D17=0,"n/a - debt repaid",D16/D17)</f>
        <v>2.2173757559801839</v>
      </c>
      <c r="E18" s="53">
        <f t="shared" si="0"/>
        <v>1.3018702105636237</v>
      </c>
      <c r="F18" s="53">
        <f t="shared" si="0"/>
        <v>1.3555742214820543</v>
      </c>
      <c r="G18" s="53">
        <f t="shared" si="0"/>
        <v>1.4100049712875911</v>
      </c>
      <c r="H18" s="53">
        <f t="shared" si="0"/>
        <v>1.4781793903225307</v>
      </c>
      <c r="I18" s="53">
        <f t="shared" si="0"/>
        <v>1.516718909398679</v>
      </c>
      <c r="J18" s="53">
        <f t="shared" si="0"/>
        <v>1.5632375915337042</v>
      </c>
      <c r="K18" s="53">
        <f t="shared" si="0"/>
        <v>1.6360775858471308</v>
      </c>
      <c r="L18" s="53">
        <f t="shared" si="0"/>
        <v>1.7000170876619318</v>
      </c>
      <c r="M18" s="53">
        <f t="shared" si="0"/>
        <v>1.7760103269756204</v>
      </c>
      <c r="N18" s="53">
        <f t="shared" si="0"/>
        <v>1.8663315442029051</v>
      </c>
      <c r="O18" s="53">
        <f t="shared" si="0"/>
        <v>1.9741034039960956</v>
      </c>
      <c r="P18" s="53">
        <f t="shared" si="0"/>
        <v>2.1036743713980628</v>
      </c>
      <c r="Q18" s="53">
        <f t="shared" si="0"/>
        <v>20.893879298785659</v>
      </c>
      <c r="R18" s="53" t="str">
        <f t="shared" si="0"/>
        <v>n/a - debt repaid</v>
      </c>
    </row>
    <row r="19" spans="1:18" x14ac:dyDescent="0.25">
      <c r="A19" s="10" t="s">
        <v>424</v>
      </c>
      <c r="C19" s="18">
        <f>Revenue!C11*Assumptions!$C$18</f>
        <v>0</v>
      </c>
      <c r="D19" s="18">
        <f>Revenue!D11*Assumptions!$C$18</f>
        <v>297</v>
      </c>
      <c r="E19" s="18">
        <f>Revenue!E11*Assumptions!$C$18</f>
        <v>297</v>
      </c>
      <c r="F19" s="18">
        <f>Revenue!F11*Assumptions!$C$18</f>
        <v>297</v>
      </c>
      <c r="G19" s="18">
        <f>Revenue!G11*Assumptions!$C$18</f>
        <v>297</v>
      </c>
      <c r="H19" s="18">
        <f>Revenue!H11*Assumptions!$C$18</f>
        <v>297</v>
      </c>
      <c r="I19" s="18">
        <f>Revenue!I11*Assumptions!$C$18</f>
        <v>297</v>
      </c>
      <c r="J19" s="18">
        <f>Revenue!J11*Assumptions!$C$18</f>
        <v>297</v>
      </c>
      <c r="K19" s="18">
        <f>Revenue!K11*Assumptions!$C$18</f>
        <v>297</v>
      </c>
      <c r="L19" s="18">
        <f>Revenue!L11*Assumptions!$C$18</f>
        <v>297</v>
      </c>
      <c r="M19" s="18">
        <f>Revenue!M11*Assumptions!$C$18</f>
        <v>297</v>
      </c>
      <c r="N19" s="18">
        <f>Revenue!N11*Assumptions!$C$18</f>
        <v>297</v>
      </c>
      <c r="O19" s="18">
        <f>Revenue!O11*Assumptions!$C$18</f>
        <v>297</v>
      </c>
      <c r="P19" s="18">
        <f>Revenue!P11*Assumptions!$C$18</f>
        <v>297</v>
      </c>
      <c r="Q19" s="18">
        <f>Revenue!Q11*Assumptions!$C$18</f>
        <v>297</v>
      </c>
      <c r="R19" s="18">
        <f>Revenue!R11*Assumptions!$C$18</f>
        <v>469.125</v>
      </c>
    </row>
    <row r="20" spans="1:18" x14ac:dyDescent="0.25">
      <c r="A20" s="10" t="s">
        <v>425</v>
      </c>
      <c r="C20" s="18">
        <f>Assumptions!$C$29</f>
        <v>1145.97</v>
      </c>
      <c r="D20" s="18">
        <f t="shared" ref="D20:R20" si="1">C20-D21</f>
        <v>848.97</v>
      </c>
      <c r="E20" s="18">
        <f t="shared" si="1"/>
        <v>551.97</v>
      </c>
      <c r="F20" s="18">
        <f t="shared" si="1"/>
        <v>254.97000000000003</v>
      </c>
      <c r="G20" s="18">
        <f t="shared" si="1"/>
        <v>0</v>
      </c>
      <c r="H20" s="18">
        <f t="shared" si="1"/>
        <v>0</v>
      </c>
      <c r="I20" s="18">
        <f t="shared" si="1"/>
        <v>0</v>
      </c>
      <c r="J20" s="18">
        <f t="shared" si="1"/>
        <v>0</v>
      </c>
      <c r="K20" s="18">
        <f t="shared" si="1"/>
        <v>0</v>
      </c>
      <c r="L20" s="18">
        <f t="shared" si="1"/>
        <v>0</v>
      </c>
      <c r="M20" s="18">
        <f t="shared" si="1"/>
        <v>0</v>
      </c>
      <c r="N20" s="18">
        <f t="shared" si="1"/>
        <v>0</v>
      </c>
      <c r="O20" s="18">
        <f t="shared" si="1"/>
        <v>0</v>
      </c>
      <c r="P20" s="18">
        <f t="shared" si="1"/>
        <v>0</v>
      </c>
      <c r="Q20" s="18">
        <f t="shared" si="1"/>
        <v>0</v>
      </c>
      <c r="R20" s="18">
        <f t="shared" si="1"/>
        <v>0</v>
      </c>
    </row>
    <row r="21" spans="1:18" x14ac:dyDescent="0.25">
      <c r="A21" s="10" t="s">
        <v>426</v>
      </c>
      <c r="C21" s="18">
        <v>0</v>
      </c>
      <c r="D21" s="18">
        <f t="shared" ref="D21:R21" si="2">MIN(C20,D19)</f>
        <v>297</v>
      </c>
      <c r="E21" s="18">
        <f t="shared" si="2"/>
        <v>297</v>
      </c>
      <c r="F21" s="18">
        <f t="shared" si="2"/>
        <v>297</v>
      </c>
      <c r="G21" s="18">
        <f t="shared" si="2"/>
        <v>254.97000000000003</v>
      </c>
      <c r="H21" s="18">
        <f t="shared" si="2"/>
        <v>0</v>
      </c>
      <c r="I21" s="18">
        <f t="shared" si="2"/>
        <v>0</v>
      </c>
      <c r="J21" s="18">
        <f t="shared" si="2"/>
        <v>0</v>
      </c>
      <c r="K21" s="18">
        <f t="shared" si="2"/>
        <v>0</v>
      </c>
      <c r="L21" s="18">
        <f t="shared" si="2"/>
        <v>0</v>
      </c>
      <c r="M21" s="18">
        <f t="shared" si="2"/>
        <v>0</v>
      </c>
      <c r="N21" s="18">
        <f t="shared" si="2"/>
        <v>0</v>
      </c>
      <c r="O21" s="18">
        <f t="shared" si="2"/>
        <v>0</v>
      </c>
      <c r="P21" s="18">
        <f t="shared" si="2"/>
        <v>0</v>
      </c>
      <c r="Q21" s="18">
        <f t="shared" si="2"/>
        <v>0</v>
      </c>
      <c r="R21" s="18">
        <f t="shared" si="2"/>
        <v>0</v>
      </c>
    </row>
    <row r="22" spans="1:18" x14ac:dyDescent="0.25">
      <c r="A22" s="10" t="s">
        <v>427</v>
      </c>
      <c r="C22" s="18">
        <v>0</v>
      </c>
      <c r="D22" s="18">
        <v>0</v>
      </c>
      <c r="E22" s="18">
        <f>Assumptions!$C$34/3-'Debt Schedule'!E9</f>
        <v>0</v>
      </c>
      <c r="F22" s="18">
        <f>Assumptions!$C$34/3-'Debt Schedule'!F9</f>
        <v>0</v>
      </c>
      <c r="G22" s="18">
        <f>Assumptions!$C$34/3-'Debt Schedule'!G9</f>
        <v>0</v>
      </c>
      <c r="H22" s="18">
        <v>0</v>
      </c>
      <c r="I22" s="18">
        <v>0</v>
      </c>
      <c r="J22" s="18">
        <v>0</v>
      </c>
      <c r="K22" s="18">
        <v>0</v>
      </c>
      <c r="L22" s="18">
        <v>0</v>
      </c>
      <c r="M22" s="18">
        <v>0</v>
      </c>
      <c r="N22" s="18">
        <v>0</v>
      </c>
      <c r="O22" s="18">
        <v>0</v>
      </c>
      <c r="P22" s="18">
        <v>0</v>
      </c>
      <c r="Q22" s="18">
        <v>0</v>
      </c>
      <c r="R22" s="18">
        <v>0</v>
      </c>
    </row>
    <row r="23" spans="1:18" x14ac:dyDescent="0.25">
      <c r="A23" s="8" t="s">
        <v>428</v>
      </c>
      <c r="C23" s="32">
        <f t="shared" ref="C23:R23" si="3">C16-C17-C15+C21+C22</f>
        <v>0</v>
      </c>
      <c r="D23" s="32">
        <f t="shared" si="3"/>
        <v>1124.1296749999999</v>
      </c>
      <c r="E23" s="32">
        <f t="shared" si="3"/>
        <v>645.02967499999977</v>
      </c>
      <c r="F23" s="32">
        <f t="shared" si="3"/>
        <v>678.75530697349996</v>
      </c>
      <c r="G23" s="32">
        <f t="shared" si="3"/>
        <v>662.65813569608781</v>
      </c>
      <c r="H23" s="32">
        <f t="shared" si="3"/>
        <v>437.56668822986944</v>
      </c>
      <c r="I23" s="32">
        <f t="shared" si="3"/>
        <v>447.75598900373939</v>
      </c>
      <c r="J23" s="32">
        <f t="shared" si="3"/>
        <v>460.73155328837197</v>
      </c>
      <c r="K23" s="32">
        <f t="shared" si="3"/>
        <v>134.25392799969006</v>
      </c>
      <c r="L23" s="32">
        <f t="shared" si="3"/>
        <v>504.67263798559611</v>
      </c>
      <c r="M23" s="32">
        <f t="shared" si="3"/>
        <v>521.79875298362185</v>
      </c>
      <c r="N23" s="32">
        <f t="shared" si="3"/>
        <v>540.48773598313119</v>
      </c>
      <c r="O23" s="32">
        <f t="shared" si="3"/>
        <v>560.45014996330258</v>
      </c>
      <c r="P23" s="32">
        <f t="shared" si="3"/>
        <v>581.43614580801852</v>
      </c>
      <c r="Q23" s="32">
        <f t="shared" si="3"/>
        <v>1029.7544404684786</v>
      </c>
      <c r="R23" s="32">
        <f t="shared" si="3"/>
        <v>990.05598915869496</v>
      </c>
    </row>
    <row r="24" spans="1:18" x14ac:dyDescent="0.25">
      <c r="A24" s="10" t="s">
        <v>429</v>
      </c>
      <c r="C24" s="18">
        <f>Assumptions!$C$39</f>
        <v>2209.5500000000002</v>
      </c>
      <c r="D24" s="18">
        <v>0</v>
      </c>
      <c r="E24" s="18">
        <v>0</v>
      </c>
      <c r="F24" s="18">
        <v>0</v>
      </c>
      <c r="G24" s="18">
        <v>0</v>
      </c>
      <c r="H24" s="18">
        <v>0</v>
      </c>
      <c r="I24" s="18">
        <v>0</v>
      </c>
      <c r="J24" s="18">
        <v>0</v>
      </c>
      <c r="K24" s="18">
        <v>0</v>
      </c>
      <c r="L24" s="18">
        <v>0</v>
      </c>
      <c r="M24" s="18">
        <v>0</v>
      </c>
      <c r="N24" s="18">
        <v>0</v>
      </c>
      <c r="O24" s="18">
        <v>0</v>
      </c>
      <c r="P24" s="18">
        <v>0</v>
      </c>
      <c r="Q24" s="18">
        <v>0</v>
      </c>
      <c r="R24" s="18">
        <v>0</v>
      </c>
    </row>
    <row r="25" spans="1:18" x14ac:dyDescent="0.25">
      <c r="A25" s="8" t="s">
        <v>430</v>
      </c>
      <c r="C25" s="32">
        <f>-C24</f>
        <v>-2209.5500000000002</v>
      </c>
      <c r="D25" s="32">
        <f t="shared" ref="D25:R25" si="4">D23</f>
        <v>1124.1296749999999</v>
      </c>
      <c r="E25" s="32">
        <f t="shared" si="4"/>
        <v>645.02967499999977</v>
      </c>
      <c r="F25" s="32">
        <f t="shared" si="4"/>
        <v>678.75530697349996</v>
      </c>
      <c r="G25" s="32">
        <f t="shared" si="4"/>
        <v>662.65813569608781</v>
      </c>
      <c r="H25" s="32">
        <f t="shared" si="4"/>
        <v>437.56668822986944</v>
      </c>
      <c r="I25" s="32">
        <f t="shared" si="4"/>
        <v>447.75598900373939</v>
      </c>
      <c r="J25" s="32">
        <f t="shared" si="4"/>
        <v>460.73155328837197</v>
      </c>
      <c r="K25" s="32">
        <f t="shared" si="4"/>
        <v>134.25392799969006</v>
      </c>
      <c r="L25" s="32">
        <f t="shared" si="4"/>
        <v>504.67263798559611</v>
      </c>
      <c r="M25" s="32">
        <f t="shared" si="4"/>
        <v>521.79875298362185</v>
      </c>
      <c r="N25" s="32">
        <f t="shared" si="4"/>
        <v>540.48773598313119</v>
      </c>
      <c r="O25" s="32">
        <f t="shared" si="4"/>
        <v>560.45014996330258</v>
      </c>
      <c r="P25" s="32">
        <f t="shared" si="4"/>
        <v>581.43614580801852</v>
      </c>
      <c r="Q25" s="32">
        <f t="shared" si="4"/>
        <v>1029.7544404684786</v>
      </c>
      <c r="R25" s="32">
        <f t="shared" si="4"/>
        <v>990.05598915869496</v>
      </c>
    </row>
    <row r="27" spans="1:18" ht="18" customHeight="1" x14ac:dyDescent="0.25">
      <c r="A27" s="6" t="s">
        <v>431</v>
      </c>
      <c r="B27" s="7"/>
      <c r="C27" s="7"/>
      <c r="D27" s="7"/>
    </row>
    <row r="28" spans="1:18" x14ac:dyDescent="0.25">
      <c r="A28" s="10" t="s">
        <v>400</v>
      </c>
      <c r="C28" s="18">
        <f>'P&amp;L'!C8</f>
        <v>0</v>
      </c>
      <c r="D28" s="18">
        <f>'P&amp;L'!D8</f>
        <v>1506.5663</v>
      </c>
      <c r="E28" s="18">
        <f>'P&amp;L'!E8</f>
        <v>1500.9413</v>
      </c>
      <c r="F28" s="18">
        <f>'P&amp;L'!F8</f>
        <v>1495.03505</v>
      </c>
      <c r="G28" s="18">
        <f>'P&amp;L'!G8</f>
        <v>1488.8334875</v>
      </c>
      <c r="H28" s="18">
        <f>'P&amp;L'!H8</f>
        <v>1482.3218468750001</v>
      </c>
      <c r="I28" s="18">
        <f>'P&amp;L'!I8</f>
        <v>1475.48462421875</v>
      </c>
      <c r="J28" s="18">
        <f>'P&amp;L'!J8</f>
        <v>1468.3055404296874</v>
      </c>
      <c r="K28" s="18">
        <f>'P&amp;L'!K8</f>
        <v>1460.7675024511718</v>
      </c>
      <c r="L28" s="18">
        <f>'P&amp;L'!L8</f>
        <v>1452.8525625737304</v>
      </c>
      <c r="M28" s="18">
        <f>'P&amp;L'!M8</f>
        <v>1444.541875702417</v>
      </c>
      <c r="N28" s="18">
        <f>'P&amp;L'!N8</f>
        <v>1435.8156544875378</v>
      </c>
      <c r="O28" s="18">
        <f>'P&amp;L'!O8</f>
        <v>1426.6531222119147</v>
      </c>
      <c r="P28" s="18">
        <f>'P&amp;L'!P8</f>
        <v>1417.0324633225105</v>
      </c>
      <c r="Q28" s="18">
        <f>'P&amp;L'!Q8</f>
        <v>1406.9307714886359</v>
      </c>
      <c r="R28" s="18">
        <f>'P&amp;L'!R8</f>
        <v>1396.3239950630677</v>
      </c>
    </row>
    <row r="29" spans="1:18" x14ac:dyDescent="0.25">
      <c r="A29" s="10" t="s">
        <v>432</v>
      </c>
      <c r="C29" s="18">
        <f>MAX(0,'P&amp;L'!C8-'P&amp;L'!C18+'P&amp;L'!C19)*Assumptions!$C$67</f>
        <v>0</v>
      </c>
      <c r="D29" s="18">
        <f>MAX(0,'P&amp;L'!D8-'P&amp;L'!D18+'P&amp;L'!D19)*Assumptions!$C$67</f>
        <v>105.46690610999998</v>
      </c>
      <c r="E29" s="18">
        <f>MAX(0,'P&amp;L'!E8-'P&amp;L'!E18+'P&amp;L'!E19)*Assumptions!$C$67</f>
        <v>143.44303714500001</v>
      </c>
      <c r="F29" s="18">
        <f>MAX(0,'P&amp;L'!F8-'P&amp;L'!F18+'P&amp;L'!F19)*Assumptions!$C$67</f>
        <v>175.60642914524999</v>
      </c>
      <c r="G29" s="18">
        <f>MAX(0,'P&amp;L'!G8-'P&amp;L'!G18+'P&amp;L'!G19)*Assumptions!$C$67</f>
        <v>202.79815052891252</v>
      </c>
      <c r="H29" s="18">
        <f>MAX(0,'P&amp;L'!H8-'P&amp;L'!H18+'P&amp;L'!H19)*Assumptions!$C$67</f>
        <v>225.73406997638065</v>
      </c>
      <c r="I29" s="18">
        <f>MAX(0,'P&amp;L'!I8-'P&amp;L'!I18+'P&amp;L'!I19)*Assumptions!$C$67</f>
        <v>245.02343415251053</v>
      </c>
      <c r="J29" s="18">
        <f>MAX(0,'P&amp;L'!J8-'P&amp;L'!J18+'P&amp;L'!J19)*Assumptions!$C$67</f>
        <v>261.18467368506538</v>
      </c>
      <c r="K29" s="18">
        <f>MAX(0,'P&amp;L'!K8-'P&amp;L'!K18+'P&amp;L'!K19)*Assumptions!$C$67</f>
        <v>261.2485942702437</v>
      </c>
      <c r="L29" s="18">
        <f>MAX(0,'P&amp;L'!L8-'P&amp;L'!L18+'P&amp;L'!L19)*Assumptions!$C$67</f>
        <v>274.42238634438439</v>
      </c>
      <c r="M29" s="18">
        <f>MAX(0,'P&amp;L'!M8-'P&amp;L'!M18+'P&amp;L'!M19)*Assumptions!$C$67</f>
        <v>285.30147208129506</v>
      </c>
      <c r="N29" s="18">
        <f>MAX(0,'P&amp;L'!N8-'P&amp;L'!N18+'P&amp;L'!N19)*Assumptions!$C$67</f>
        <v>294.20215547315644</v>
      </c>
      <c r="O29" s="18">
        <f>MAX(0,'P&amp;L'!O8-'P&amp;L'!O18+'P&amp;L'!O19)*Assumptions!$C$67</f>
        <v>301.39309682361204</v>
      </c>
      <c r="P29" s="18">
        <f>MAX(0,'P&amp;L'!P8-'P&amp;L'!P18+'P&amp;L'!P19)*Assumptions!$C$67</f>
        <v>307.1023296957419</v>
      </c>
      <c r="Q29" s="18">
        <f>MAX(0,'P&amp;L'!Q8-'P&amp;L'!Q18+'P&amp;L'!Q19)*Assumptions!$C$67</f>
        <v>311.52323080765717</v>
      </c>
      <c r="R29" s="18">
        <f>MAX(0,'P&amp;L'!R8-'P&amp;L'!R18+'P&amp;L'!R19)*Assumptions!$C$67</f>
        <v>391.16600590437275</v>
      </c>
    </row>
    <row r="30" spans="1:18" x14ac:dyDescent="0.25">
      <c r="A30" s="10" t="s">
        <v>420</v>
      </c>
      <c r="C30" s="18">
        <f>'Degradation-Augmentation'!C18</f>
        <v>0</v>
      </c>
      <c r="D30" s="18">
        <f>'Degradation-Augmentation'!D18</f>
        <v>0</v>
      </c>
      <c r="E30" s="18">
        <f>'Degradation-Augmentation'!E18</f>
        <v>0</v>
      </c>
      <c r="F30" s="18">
        <f>'Degradation-Augmentation'!F18</f>
        <v>0</v>
      </c>
      <c r="G30" s="18">
        <f>'Degradation-Augmentation'!G18</f>
        <v>0</v>
      </c>
      <c r="H30" s="18">
        <f>'Degradation-Augmentation'!H18</f>
        <v>0</v>
      </c>
      <c r="I30" s="18">
        <f>'Degradation-Augmentation'!I18</f>
        <v>0</v>
      </c>
      <c r="J30" s="18">
        <f>'Degradation-Augmentation'!J18</f>
        <v>0</v>
      </c>
      <c r="K30" s="18">
        <f>'Degradation-Augmentation'!K18</f>
        <v>355.19155433123808</v>
      </c>
      <c r="L30" s="18">
        <f>'Degradation-Augmentation'!L18</f>
        <v>0</v>
      </c>
      <c r="M30" s="18">
        <f>'Degradation-Augmentation'!M18</f>
        <v>0</v>
      </c>
      <c r="N30" s="18">
        <f>'Degradation-Augmentation'!N18</f>
        <v>0</v>
      </c>
      <c r="O30" s="18">
        <f>'Degradation-Augmentation'!O18</f>
        <v>0</v>
      </c>
      <c r="P30" s="18">
        <f>'Degradation-Augmentation'!P18</f>
        <v>0</v>
      </c>
      <c r="Q30" s="18">
        <f>'Degradation-Augmentation'!Q18</f>
        <v>0</v>
      </c>
      <c r="R30" s="18">
        <f>'Degradation-Augmentation'!R18</f>
        <v>0</v>
      </c>
    </row>
    <row r="31" spans="1:18" x14ac:dyDescent="0.25">
      <c r="A31" s="10" t="s">
        <v>433</v>
      </c>
      <c r="C31" s="18">
        <f t="shared" ref="C31:R31" si="5">C21</f>
        <v>0</v>
      </c>
      <c r="D31" s="18">
        <f t="shared" si="5"/>
        <v>297</v>
      </c>
      <c r="E31" s="18">
        <f t="shared" si="5"/>
        <v>297</v>
      </c>
      <c r="F31" s="18">
        <f t="shared" si="5"/>
        <v>297</v>
      </c>
      <c r="G31" s="18">
        <f t="shared" si="5"/>
        <v>254.97000000000003</v>
      </c>
      <c r="H31" s="18">
        <f t="shared" si="5"/>
        <v>0</v>
      </c>
      <c r="I31" s="18">
        <f t="shared" si="5"/>
        <v>0</v>
      </c>
      <c r="J31" s="18">
        <f t="shared" si="5"/>
        <v>0</v>
      </c>
      <c r="K31" s="18">
        <f t="shared" si="5"/>
        <v>0</v>
      </c>
      <c r="L31" s="18">
        <f t="shared" si="5"/>
        <v>0</v>
      </c>
      <c r="M31" s="18">
        <f t="shared" si="5"/>
        <v>0</v>
      </c>
      <c r="N31" s="18">
        <f t="shared" si="5"/>
        <v>0</v>
      </c>
      <c r="O31" s="18">
        <f t="shared" si="5"/>
        <v>0</v>
      </c>
      <c r="P31" s="18">
        <f t="shared" si="5"/>
        <v>0</v>
      </c>
      <c r="Q31" s="18">
        <f t="shared" si="5"/>
        <v>0</v>
      </c>
      <c r="R31" s="18">
        <f t="shared" si="5"/>
        <v>0</v>
      </c>
    </row>
    <row r="32" spans="1:18" x14ac:dyDescent="0.25">
      <c r="A32" s="10" t="s">
        <v>434</v>
      </c>
      <c r="C32" s="18">
        <v>0</v>
      </c>
      <c r="D32" s="18">
        <v>0</v>
      </c>
      <c r="E32" s="18">
        <f>Assumptions!$C$34/3</f>
        <v>300</v>
      </c>
      <c r="F32" s="18">
        <f>Assumptions!$C$34/3</f>
        <v>300</v>
      </c>
      <c r="G32" s="18">
        <f>Assumptions!$C$34/3</f>
        <v>300</v>
      </c>
      <c r="H32" s="18">
        <v>0</v>
      </c>
      <c r="I32" s="18">
        <v>0</v>
      </c>
      <c r="J32" s="18">
        <v>0</v>
      </c>
      <c r="K32" s="18">
        <v>0</v>
      </c>
      <c r="L32" s="18">
        <v>0</v>
      </c>
      <c r="M32" s="18">
        <v>0</v>
      </c>
      <c r="N32" s="18">
        <v>0</v>
      </c>
      <c r="O32" s="18">
        <v>0</v>
      </c>
      <c r="P32" s="18">
        <v>0</v>
      </c>
      <c r="Q32" s="18">
        <v>0</v>
      </c>
      <c r="R32" s="18">
        <v>0</v>
      </c>
    </row>
    <row r="33" spans="1:18" x14ac:dyDescent="0.25">
      <c r="A33" s="10" t="s">
        <v>435</v>
      </c>
      <c r="C33" s="18">
        <f>Assumptions!$C$20</f>
        <v>8838.2000000000007</v>
      </c>
      <c r="D33" s="18">
        <v>0</v>
      </c>
      <c r="E33" s="18">
        <v>0</v>
      </c>
      <c r="F33" s="18">
        <v>0</v>
      </c>
      <c r="G33" s="18">
        <v>0</v>
      </c>
      <c r="H33" s="18">
        <v>0</v>
      </c>
      <c r="I33" s="18">
        <v>0</v>
      </c>
      <c r="J33" s="18">
        <v>0</v>
      </c>
      <c r="K33" s="18">
        <v>0</v>
      </c>
      <c r="L33" s="18">
        <v>0</v>
      </c>
      <c r="M33" s="18">
        <v>0</v>
      </c>
      <c r="N33" s="18">
        <v>0</v>
      </c>
      <c r="O33" s="18">
        <v>0</v>
      </c>
      <c r="P33" s="18">
        <v>0</v>
      </c>
      <c r="Q33" s="18">
        <v>0</v>
      </c>
      <c r="R33" s="18">
        <v>0</v>
      </c>
    </row>
    <row r="34" spans="1:18" x14ac:dyDescent="0.25">
      <c r="A34" s="8" t="s">
        <v>436</v>
      </c>
      <c r="C34" s="32">
        <f>-C33</f>
        <v>-8838.2000000000007</v>
      </c>
      <c r="D34" s="32">
        <f t="shared" ref="D34:R34" si="6">D28-D29-D30+D31+D32</f>
        <v>1698.0993938899999</v>
      </c>
      <c r="E34" s="32">
        <f t="shared" si="6"/>
        <v>1954.4982628549999</v>
      </c>
      <c r="F34" s="32">
        <f t="shared" si="6"/>
        <v>1916.4286208547501</v>
      </c>
      <c r="G34" s="32">
        <f t="shared" si="6"/>
        <v>1841.0053369710874</v>
      </c>
      <c r="H34" s="32">
        <f t="shared" si="6"/>
        <v>1256.5877768986195</v>
      </c>
      <c r="I34" s="32">
        <f t="shared" si="6"/>
        <v>1230.4611900662394</v>
      </c>
      <c r="J34" s="32">
        <f t="shared" si="6"/>
        <v>1207.1208667446222</v>
      </c>
      <c r="K34" s="32">
        <f t="shared" si="6"/>
        <v>844.32735384968998</v>
      </c>
      <c r="L34" s="32">
        <f t="shared" si="6"/>
        <v>1178.430176229346</v>
      </c>
      <c r="M34" s="32">
        <f t="shared" si="6"/>
        <v>1159.2404036211219</v>
      </c>
      <c r="N34" s="32">
        <f t="shared" si="6"/>
        <v>1141.6134990143814</v>
      </c>
      <c r="O34" s="32">
        <f t="shared" si="6"/>
        <v>1125.2600253883027</v>
      </c>
      <c r="P34" s="32">
        <f t="shared" si="6"/>
        <v>1109.9301336267686</v>
      </c>
      <c r="Q34" s="32">
        <f t="shared" si="6"/>
        <v>1095.4075406809786</v>
      </c>
      <c r="R34" s="32">
        <f t="shared" si="6"/>
        <v>1005.157989158695</v>
      </c>
    </row>
    <row r="36" spans="1:18" x14ac:dyDescent="0.25">
      <c r="A36" s="8" t="s">
        <v>437</v>
      </c>
      <c r="C36" s="54">
        <f>MIN(D18:R18)</f>
        <v>1.3018702105636237</v>
      </c>
    </row>
    <row r="37" spans="1:18" x14ac:dyDescent="0.25">
      <c r="A37" s="8" t="s">
        <v>438</v>
      </c>
      <c r="C37" s="54">
        <f>IFERROR(AVERAGE(D18:R18),"n/a - no debt")</f>
        <v>3.0566467621025555</v>
      </c>
    </row>
    <row r="38" spans="1:18" x14ac:dyDescent="0.25">
      <c r="A38" s="8" t="s">
        <v>160</v>
      </c>
      <c r="C38" s="54">
        <f>IF(Assumptions!$C$38=0,"n/a - no debt",NPV(Assumptions!$C$42,D16:INDEX(D16:R16,MIN(Assumptions!$C$43,15)))/Assumptions!$C$38)</f>
        <v>1.5006609194621761</v>
      </c>
    </row>
    <row r="39" spans="1:18" x14ac:dyDescent="0.25">
      <c r="A39" s="8" t="s">
        <v>439</v>
      </c>
      <c r="C39" s="55">
        <f>IFERROR(IRR(C25:R25,-0.5),"n/m - check bid price, likely too low")</f>
        <v>0.31469932830013314</v>
      </c>
    </row>
    <row r="40" spans="1:18" x14ac:dyDescent="0.25">
      <c r="A40" s="8" t="s">
        <v>440</v>
      </c>
      <c r="C40" s="55">
        <f>IFERROR(IRR(C34:R34,-0.3),"n/m - check bid price, likely too low")</f>
        <v>0.14595476194912127</v>
      </c>
    </row>
    <row r="42" spans="1:18" x14ac:dyDescent="0.25">
      <c r="A42" s="10" t="s">
        <v>441</v>
      </c>
      <c r="C42" s="18">
        <f>C25</f>
        <v>-2209.5500000000002</v>
      </c>
      <c r="D42" s="18">
        <f t="shared" ref="D42:R42" si="7">C42+D25</f>
        <v>-1085.4203250000003</v>
      </c>
      <c r="E42" s="18">
        <f t="shared" si="7"/>
        <v>-440.39065000000051</v>
      </c>
      <c r="F42" s="18">
        <f t="shared" si="7"/>
        <v>238.36465697349945</v>
      </c>
      <c r="G42" s="18">
        <f t="shared" si="7"/>
        <v>901.02279266958726</v>
      </c>
      <c r="H42" s="18">
        <f t="shared" si="7"/>
        <v>1338.5894808994567</v>
      </c>
      <c r="I42" s="18">
        <f t="shared" si="7"/>
        <v>1786.3454699031961</v>
      </c>
      <c r="J42" s="18">
        <f t="shared" si="7"/>
        <v>2247.0770231915681</v>
      </c>
      <c r="K42" s="18">
        <f t="shared" si="7"/>
        <v>2381.330951191258</v>
      </c>
      <c r="L42" s="18">
        <f t="shared" si="7"/>
        <v>2886.0035891768539</v>
      </c>
      <c r="M42" s="18">
        <f t="shared" si="7"/>
        <v>3407.8023421604757</v>
      </c>
      <c r="N42" s="18">
        <f t="shared" si="7"/>
        <v>3948.2900781436069</v>
      </c>
      <c r="O42" s="18">
        <f t="shared" si="7"/>
        <v>4508.7402281069099</v>
      </c>
      <c r="P42" s="18">
        <f t="shared" si="7"/>
        <v>5090.1763739149283</v>
      </c>
      <c r="Q42" s="18">
        <f t="shared" si="7"/>
        <v>6119.9308143834069</v>
      </c>
      <c r="R42" s="18">
        <f t="shared" si="7"/>
        <v>7109.9868035421023</v>
      </c>
    </row>
    <row r="43" spans="1:18" x14ac:dyDescent="0.25">
      <c r="A43" s="10" t="s">
        <v>442</v>
      </c>
      <c r="C43" s="18">
        <f>C34</f>
        <v>-8838.2000000000007</v>
      </c>
      <c r="D43" s="18">
        <f t="shared" ref="D43:R43" si="8">C43+D34</f>
        <v>-7140.1006061100006</v>
      </c>
      <c r="E43" s="18">
        <f t="shared" si="8"/>
        <v>-5185.602343255001</v>
      </c>
      <c r="F43" s="18">
        <f t="shared" si="8"/>
        <v>-3269.1737224002509</v>
      </c>
      <c r="G43" s="18">
        <f t="shared" si="8"/>
        <v>-1428.1683854291634</v>
      </c>
      <c r="H43" s="18">
        <f t="shared" si="8"/>
        <v>-171.58060853054394</v>
      </c>
      <c r="I43" s="18">
        <f t="shared" si="8"/>
        <v>1058.8805815356955</v>
      </c>
      <c r="J43" s="18">
        <f t="shared" si="8"/>
        <v>2266.0014482803176</v>
      </c>
      <c r="K43" s="18">
        <f t="shared" si="8"/>
        <v>3110.3288021300077</v>
      </c>
      <c r="L43" s="18">
        <f t="shared" si="8"/>
        <v>4288.7589783593539</v>
      </c>
      <c r="M43" s="18">
        <f t="shared" si="8"/>
        <v>5447.9993819804758</v>
      </c>
      <c r="N43" s="18">
        <f t="shared" si="8"/>
        <v>6589.6128809948568</v>
      </c>
      <c r="O43" s="18">
        <f t="shared" si="8"/>
        <v>7714.8729063831597</v>
      </c>
      <c r="P43" s="18">
        <f t="shared" si="8"/>
        <v>8824.8030400099287</v>
      </c>
      <c r="Q43" s="18">
        <f t="shared" si="8"/>
        <v>9920.2105806909076</v>
      </c>
      <c r="R43" s="18">
        <f t="shared" si="8"/>
        <v>10925.368569849603</v>
      </c>
    </row>
    <row r="45" spans="1:18" x14ac:dyDescent="0.25">
      <c r="A45" s="8" t="s">
        <v>443</v>
      </c>
      <c r="C45" s="56">
        <f>IF(COUNTIF(C42:R42,"&gt;=0")=0,"n/m - never pays back within 15 yrs",IF(COUNTIF(C42:R42,"&lt;0")=0,0,(COUNTIF(C42:R42,"&lt;0")-1)+(-INDEX(C42:R42,COUNTIF(C42:R42,"&lt;0")))/(INDEX(C42:R42,COUNTIF(C42:R42,"&lt;0")+1)-INDEX(C42:R42,COUNTIF(C42:R42,"&lt;0")))))</f>
        <v>2.6488209307175175</v>
      </c>
    </row>
    <row r="46" spans="1:18" x14ac:dyDescent="0.25">
      <c r="A46" s="8" t="s">
        <v>444</v>
      </c>
      <c r="C46" s="56">
        <f>IF(COUNTIF(C43:R43,"&gt;=0")=0,"n/m - never pays back within 15 yrs",IF(COUNTIF(C43:R43,"&lt;0")=0,0,(COUNTIF(C43:R43,"&lt;0")-1)+(-INDEX(C43:R43,COUNTIF(C43:R43,"&lt;0")))/(INDEX(C43:R43,COUNTIF(C43:R43,"&lt;0")+1)-INDEX(C43:R43,COUNTIF(C43:R43,"&lt;0")))))</f>
        <v>5.1394441449399206</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sheetPr>
  <dimension ref="A1:R22"/>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40" customWidth="1"/>
    <col min="2" max="2" width="12" customWidth="1"/>
    <col min="3" max="14" width="10" customWidth="1"/>
    <col min="15" max="15" width="13" customWidth="1"/>
  </cols>
  <sheetData>
    <row r="1" spans="1:18" ht="24" customHeight="1" x14ac:dyDescent="0.25">
      <c r="A1" s="66" t="s">
        <v>499</v>
      </c>
      <c r="B1" s="66"/>
      <c r="C1" s="66"/>
      <c r="D1" s="66"/>
      <c r="E1" s="66"/>
      <c r="F1" s="66"/>
      <c r="G1" s="66"/>
      <c r="H1" s="66"/>
      <c r="I1" s="66"/>
      <c r="J1" s="66"/>
      <c r="K1" s="66"/>
      <c r="L1" s="66"/>
      <c r="M1" s="66"/>
      <c r="N1" s="66"/>
      <c r="O1" s="66"/>
      <c r="P1" s="66"/>
      <c r="Q1" s="66"/>
      <c r="R1" s="66"/>
    </row>
    <row r="2" spans="1:18" ht="18" x14ac:dyDescent="0.25">
      <c r="A2" s="19" t="s">
        <v>445</v>
      </c>
    </row>
    <row r="3" spans="1:18" x14ac:dyDescent="0.25">
      <c r="A3" s="13" t="s">
        <v>446</v>
      </c>
    </row>
    <row r="5" spans="1:18" x14ac:dyDescent="0.25">
      <c r="A5" s="14" t="s">
        <v>447</v>
      </c>
      <c r="C5" s="43">
        <v>1</v>
      </c>
      <c r="D5" s="43">
        <v>2</v>
      </c>
      <c r="E5" s="43">
        <v>3</v>
      </c>
      <c r="F5" s="43">
        <v>4</v>
      </c>
      <c r="G5" s="43">
        <v>5</v>
      </c>
      <c r="H5" s="43">
        <v>6</v>
      </c>
      <c r="I5" s="43">
        <v>7</v>
      </c>
      <c r="J5" s="43">
        <v>8</v>
      </c>
      <c r="K5" s="43">
        <v>9</v>
      </c>
      <c r="L5" s="43">
        <v>10</v>
      </c>
      <c r="M5" s="43">
        <v>11</v>
      </c>
      <c r="N5" s="43">
        <v>12</v>
      </c>
      <c r="O5" s="43" t="s">
        <v>448</v>
      </c>
    </row>
    <row r="7" spans="1:18" x14ac:dyDescent="0.25">
      <c r="A7" s="10" t="s">
        <v>449</v>
      </c>
      <c r="C7" s="29">
        <v>0.05</v>
      </c>
      <c r="D7" s="29">
        <v>7.0000000000000007E-2</v>
      </c>
      <c r="E7" s="29">
        <v>0.08</v>
      </c>
      <c r="F7" s="29">
        <v>0.1</v>
      </c>
      <c r="G7" s="29">
        <v>0.1</v>
      </c>
      <c r="H7" s="29">
        <v>0.1</v>
      </c>
      <c r="I7" s="29">
        <v>0.1</v>
      </c>
      <c r="J7" s="29">
        <v>0.1</v>
      </c>
      <c r="K7" s="29">
        <v>0.1</v>
      </c>
      <c r="L7" s="29">
        <v>0.08</v>
      </c>
      <c r="M7" s="29">
        <v>7.0000000000000007E-2</v>
      </c>
      <c r="N7" s="29">
        <v>0.05</v>
      </c>
      <c r="O7" s="57">
        <f>SUM(C7:N7)</f>
        <v>1</v>
      </c>
    </row>
    <row r="8" spans="1:18" x14ac:dyDescent="0.25">
      <c r="A8" s="10" t="s">
        <v>450</v>
      </c>
      <c r="C8" s="18">
        <f>Assumptions!$C$20*C7</f>
        <v>441.91000000000008</v>
      </c>
      <c r="D8" s="18">
        <f>Assumptions!$C$20*D7</f>
        <v>618.67400000000009</v>
      </c>
      <c r="E8" s="18">
        <f>Assumptions!$C$20*E7</f>
        <v>707.05600000000004</v>
      </c>
      <c r="F8" s="18">
        <f>Assumptions!$C$20*F7</f>
        <v>883.82000000000016</v>
      </c>
      <c r="G8" s="18">
        <f>Assumptions!$C$20*G7</f>
        <v>883.82000000000016</v>
      </c>
      <c r="H8" s="18">
        <f>Assumptions!$C$20*H7</f>
        <v>883.82000000000016</v>
      </c>
      <c r="I8" s="18">
        <f>Assumptions!$C$20*I7</f>
        <v>883.82000000000016</v>
      </c>
      <c r="J8" s="18">
        <f>Assumptions!$C$20*J7</f>
        <v>883.82000000000016</v>
      </c>
      <c r="K8" s="18">
        <f>Assumptions!$C$20*K7</f>
        <v>883.82000000000016</v>
      </c>
      <c r="L8" s="18">
        <f>Assumptions!$C$20*L7</f>
        <v>707.05600000000004</v>
      </c>
      <c r="M8" s="18">
        <f>Assumptions!$C$20*M7</f>
        <v>618.67400000000009</v>
      </c>
      <c r="N8" s="18">
        <f>Assumptions!$C$20*N7</f>
        <v>441.91000000000008</v>
      </c>
      <c r="O8" s="32">
        <f>SUM(C8:N8)</f>
        <v>8838.2000000000007</v>
      </c>
    </row>
    <row r="9" spans="1:18" x14ac:dyDescent="0.25">
      <c r="A9" s="10" t="s">
        <v>451</v>
      </c>
      <c r="C9" s="18">
        <f>C8</f>
        <v>441.91000000000008</v>
      </c>
      <c r="D9" s="18">
        <f t="shared" ref="D9:N9" si="0">C9+D8</f>
        <v>1060.5840000000003</v>
      </c>
      <c r="E9" s="18">
        <f t="shared" si="0"/>
        <v>1767.6400000000003</v>
      </c>
      <c r="F9" s="18">
        <f t="shared" si="0"/>
        <v>2651.4600000000005</v>
      </c>
      <c r="G9" s="18">
        <f t="shared" si="0"/>
        <v>3535.2800000000007</v>
      </c>
      <c r="H9" s="18">
        <f t="shared" si="0"/>
        <v>4419.1000000000004</v>
      </c>
      <c r="I9" s="18">
        <f t="shared" si="0"/>
        <v>5302.92</v>
      </c>
      <c r="J9" s="18">
        <f t="shared" si="0"/>
        <v>6186.74</v>
      </c>
      <c r="K9" s="18">
        <f t="shared" si="0"/>
        <v>7070.5599999999995</v>
      </c>
      <c r="L9" s="18">
        <f t="shared" si="0"/>
        <v>7777.616</v>
      </c>
      <c r="M9" s="18">
        <f t="shared" si="0"/>
        <v>8396.2900000000009</v>
      </c>
      <c r="N9" s="18">
        <f t="shared" si="0"/>
        <v>8838.2000000000007</v>
      </c>
      <c r="O9" s="32">
        <f>N9</f>
        <v>8838.2000000000007</v>
      </c>
    </row>
    <row r="11" spans="1:18" x14ac:dyDescent="0.25">
      <c r="A11" s="10" t="s">
        <v>452</v>
      </c>
      <c r="C11" s="18">
        <f>C8*Assumptions!$C$37</f>
        <v>331.43250000000006</v>
      </c>
      <c r="D11" s="18">
        <f>D8*Assumptions!$C$37</f>
        <v>464.0055000000001</v>
      </c>
      <c r="E11" s="18">
        <f>E8*Assumptions!$C$37</f>
        <v>530.29200000000003</v>
      </c>
      <c r="F11" s="18">
        <f>F8*Assumptions!$C$37</f>
        <v>662.86500000000012</v>
      </c>
      <c r="G11" s="18">
        <f>G8*Assumptions!$C$37</f>
        <v>662.86500000000012</v>
      </c>
      <c r="H11" s="18">
        <f>H8*Assumptions!$C$37</f>
        <v>662.86500000000012</v>
      </c>
      <c r="I11" s="18">
        <f>I8*Assumptions!$C$37</f>
        <v>662.86500000000012</v>
      </c>
      <c r="J11" s="18">
        <f>J8*Assumptions!$C$37</f>
        <v>662.86500000000012</v>
      </c>
      <c r="K11" s="18">
        <f>K8*Assumptions!$C$37</f>
        <v>662.86500000000012</v>
      </c>
      <c r="L11" s="18">
        <f>L8*Assumptions!$C$37</f>
        <v>530.29200000000003</v>
      </c>
      <c r="M11" s="18">
        <f>M8*Assumptions!$C$37</f>
        <v>464.0055000000001</v>
      </c>
      <c r="N11" s="18">
        <f>N8*Assumptions!$C$37</f>
        <v>331.43250000000006</v>
      </c>
      <c r="O11" s="32">
        <f>SUM(C11:N11)</f>
        <v>6628.6500000000015</v>
      </c>
    </row>
    <row r="12" spans="1:18" x14ac:dyDescent="0.25">
      <c r="A12" s="10" t="s">
        <v>453</v>
      </c>
      <c r="C12" s="18">
        <f>C11</f>
        <v>331.43250000000006</v>
      </c>
      <c r="D12" s="18">
        <f t="shared" ref="D12:N12" si="1">C12+D11</f>
        <v>795.4380000000001</v>
      </c>
      <c r="E12" s="18">
        <f t="shared" si="1"/>
        <v>1325.73</v>
      </c>
      <c r="F12" s="18">
        <f t="shared" si="1"/>
        <v>1988.5950000000003</v>
      </c>
      <c r="G12" s="18">
        <f t="shared" si="1"/>
        <v>2651.4600000000005</v>
      </c>
      <c r="H12" s="18">
        <f t="shared" si="1"/>
        <v>3314.3250000000007</v>
      </c>
      <c r="I12" s="18">
        <f t="shared" si="1"/>
        <v>3977.190000000001</v>
      </c>
      <c r="J12" s="18">
        <f t="shared" si="1"/>
        <v>4640.0550000000012</v>
      </c>
      <c r="K12" s="18">
        <f t="shared" si="1"/>
        <v>5302.920000000001</v>
      </c>
      <c r="L12" s="18">
        <f t="shared" si="1"/>
        <v>5833.2120000000014</v>
      </c>
      <c r="M12" s="18">
        <f t="shared" si="1"/>
        <v>6297.2175000000016</v>
      </c>
      <c r="N12" s="18">
        <f t="shared" si="1"/>
        <v>6628.6500000000015</v>
      </c>
      <c r="O12" s="32">
        <f>N12</f>
        <v>6628.6500000000015</v>
      </c>
    </row>
    <row r="13" spans="1:18" x14ac:dyDescent="0.25">
      <c r="A13" s="10" t="s">
        <v>454</v>
      </c>
      <c r="C13" s="18">
        <f>C8*(1-Assumptions!$C$37)</f>
        <v>110.47750000000002</v>
      </c>
      <c r="D13" s="18">
        <f>D8*(1-Assumptions!$C$37)</f>
        <v>154.66850000000002</v>
      </c>
      <c r="E13" s="18">
        <f>E8*(1-Assumptions!$C$37)</f>
        <v>176.76400000000001</v>
      </c>
      <c r="F13" s="18">
        <f>F8*(1-Assumptions!$C$37)</f>
        <v>220.95500000000004</v>
      </c>
      <c r="G13" s="18">
        <f>G8*(1-Assumptions!$C$37)</f>
        <v>220.95500000000004</v>
      </c>
      <c r="H13" s="18">
        <f>H8*(1-Assumptions!$C$37)</f>
        <v>220.95500000000004</v>
      </c>
      <c r="I13" s="18">
        <f>I8*(1-Assumptions!$C$37)</f>
        <v>220.95500000000004</v>
      </c>
      <c r="J13" s="18">
        <f>J8*(1-Assumptions!$C$37)</f>
        <v>220.95500000000004</v>
      </c>
      <c r="K13" s="18">
        <f>K8*(1-Assumptions!$C$37)</f>
        <v>220.95500000000004</v>
      </c>
      <c r="L13" s="18">
        <f>L8*(1-Assumptions!$C$37)</f>
        <v>176.76400000000001</v>
      </c>
      <c r="M13" s="18">
        <f>M8*(1-Assumptions!$C$37)</f>
        <v>154.66850000000002</v>
      </c>
      <c r="N13" s="18">
        <f>N8*(1-Assumptions!$C$37)</f>
        <v>110.47750000000002</v>
      </c>
      <c r="O13" s="32">
        <f>SUM(C13:N13)</f>
        <v>2209.5500000000002</v>
      </c>
    </row>
    <row r="15" spans="1:18" ht="18" customHeight="1" x14ac:dyDescent="0.25">
      <c r="A15" s="6" t="s">
        <v>455</v>
      </c>
      <c r="B15" s="7"/>
      <c r="C15" s="7"/>
      <c r="D15" s="7"/>
      <c r="E15" s="7"/>
      <c r="F15" s="7"/>
      <c r="G15" s="7"/>
      <c r="H15" s="7"/>
      <c r="I15" s="7"/>
      <c r="J15" s="7"/>
      <c r="K15" s="7"/>
      <c r="L15" s="7"/>
      <c r="M15" s="7"/>
      <c r="N15" s="7"/>
    </row>
    <row r="16" spans="1:18" x14ac:dyDescent="0.25">
      <c r="A16" s="10" t="s">
        <v>456</v>
      </c>
      <c r="C16" s="18">
        <v>0</v>
      </c>
      <c r="D16" s="18">
        <f>C12*Assumptions!$C$42/12</f>
        <v>2.8309859374999999</v>
      </c>
      <c r="E16" s="18">
        <f>D12*Assumptions!$C$42/12</f>
        <v>6.7943662500000004</v>
      </c>
      <c r="F16" s="18">
        <f>E12*Assumptions!$C$42/12</f>
        <v>11.32394375</v>
      </c>
      <c r="G16" s="18">
        <f>F12*Assumptions!$C$42/12</f>
        <v>16.985915625000001</v>
      </c>
      <c r="H16" s="18">
        <f>G12*Assumptions!$C$42/12</f>
        <v>22.6478875</v>
      </c>
      <c r="I16" s="18">
        <f>H12*Assumptions!$C$42/12</f>
        <v>28.309859375000006</v>
      </c>
      <c r="J16" s="18">
        <f>I12*Assumptions!$C$42/12</f>
        <v>33.971831250000008</v>
      </c>
      <c r="K16" s="18">
        <f>J12*Assumptions!$C$42/12</f>
        <v>39.633803125000007</v>
      </c>
      <c r="L16" s="18">
        <f>K12*Assumptions!$C$42/12</f>
        <v>45.295774999999999</v>
      </c>
      <c r="M16" s="18">
        <f>L12*Assumptions!$C$42/12</f>
        <v>49.825352500000008</v>
      </c>
      <c r="N16" s="18">
        <f>M12*Assumptions!$C$42/12</f>
        <v>53.788732812500008</v>
      </c>
      <c r="O16" s="32">
        <f>SUM(C16:N16)</f>
        <v>311.40845312500005</v>
      </c>
    </row>
    <row r="18" spans="1:2" x14ac:dyDescent="0.25">
      <c r="A18" s="10" t="s">
        <v>457</v>
      </c>
      <c r="B18" s="12">
        <f>O16</f>
        <v>311.40845312500005</v>
      </c>
    </row>
    <row r="19" spans="1:2" x14ac:dyDescent="0.25">
      <c r="A19" s="10" t="s">
        <v>458</v>
      </c>
      <c r="B19" s="12">
        <f>Assumptions!$C$14*Assumptions!$C$16</f>
        <v>280</v>
      </c>
    </row>
    <row r="20" spans="1:2" x14ac:dyDescent="0.25">
      <c r="A20" s="8" t="s">
        <v>459</v>
      </c>
      <c r="B20" s="50">
        <f>B18-B19</f>
        <v>31.408453125000051</v>
      </c>
    </row>
    <row r="22" spans="1:2" x14ac:dyDescent="0.25">
      <c r="A22" s="10" t="s">
        <v>460</v>
      </c>
      <c r="B22" s="17" t="str">
        <f>IF(ROUND(O7,4)=1,"OK","WARNING: phasing does not sum to 100% - fix the monthly % row above")</f>
        <v>OK</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sheetPr>
  <dimension ref="A1:R26"/>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498</v>
      </c>
      <c r="B1" s="66"/>
      <c r="C1" s="66"/>
      <c r="D1" s="66"/>
      <c r="E1" s="66"/>
      <c r="F1" s="66"/>
      <c r="G1" s="66"/>
      <c r="H1" s="66"/>
      <c r="I1" s="66"/>
      <c r="J1" s="66"/>
      <c r="K1" s="66"/>
      <c r="L1" s="66"/>
      <c r="M1" s="66"/>
      <c r="N1" s="66"/>
      <c r="O1" s="66"/>
      <c r="P1" s="66"/>
      <c r="Q1" s="66"/>
      <c r="R1" s="66"/>
    </row>
    <row r="2" spans="1:18" ht="18" x14ac:dyDescent="0.25">
      <c r="A2" s="19" t="s">
        <v>139</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ht="18" customHeight="1" x14ac:dyDescent="0.25">
      <c r="A6" s="6" t="s">
        <v>461</v>
      </c>
      <c r="B6" s="7"/>
      <c r="C6" s="7"/>
      <c r="D6" s="7"/>
    </row>
    <row r="7" spans="1:18" x14ac:dyDescent="0.25">
      <c r="A7" s="10" t="s">
        <v>462</v>
      </c>
      <c r="C7" s="18">
        <f>Depreciation!C28</f>
        <v>7692.23</v>
      </c>
      <c r="D7" s="18">
        <f>Depreciation!D28</f>
        <v>7205.055433333333</v>
      </c>
      <c r="E7" s="18">
        <f>Depreciation!E28</f>
        <v>6717.8808666666664</v>
      </c>
      <c r="F7" s="18">
        <f>Depreciation!F28</f>
        <v>6230.7062999999998</v>
      </c>
      <c r="G7" s="18">
        <f>Depreciation!G28</f>
        <v>5743.5317333333332</v>
      </c>
      <c r="H7" s="18">
        <f>Depreciation!H28</f>
        <v>5256.3571666666667</v>
      </c>
      <c r="I7" s="18">
        <f>Depreciation!I28</f>
        <v>4769.1826000000001</v>
      </c>
      <c r="J7" s="18">
        <f>Depreciation!J28</f>
        <v>4282.0080333333335</v>
      </c>
      <c r="K7" s="18">
        <f>Depreciation!K28</f>
        <v>4150.0250209979049</v>
      </c>
      <c r="L7" s="18">
        <f>Depreciation!L28</f>
        <v>3640.3549892235933</v>
      </c>
      <c r="M7" s="18">
        <f>Depreciation!M28</f>
        <v>3130.6849574492817</v>
      </c>
      <c r="N7" s="18">
        <f>Depreciation!N28</f>
        <v>2621.0149256749701</v>
      </c>
      <c r="O7" s="18">
        <f>Depreciation!O28</f>
        <v>2111.3448939006585</v>
      </c>
      <c r="P7" s="18">
        <f>Depreciation!P28</f>
        <v>1601.6748621263469</v>
      </c>
      <c r="Q7" s="18">
        <f>Depreciation!Q28</f>
        <v>1092.0048303520352</v>
      </c>
      <c r="R7" s="18">
        <f>Depreciation!R28</f>
        <v>582.33479857772363</v>
      </c>
    </row>
    <row r="8" spans="1:18" x14ac:dyDescent="0.25">
      <c r="A8" s="10" t="s">
        <v>463</v>
      </c>
      <c r="C8" s="18">
        <f>Assumptions!$C$29</f>
        <v>1145.97</v>
      </c>
      <c r="D8" s="18">
        <f t="shared" ref="D8:R8" si="0">C8-D24</f>
        <v>848.97</v>
      </c>
      <c r="E8" s="18">
        <f t="shared" si="0"/>
        <v>551.97</v>
      </c>
      <c r="F8" s="18">
        <f t="shared" si="0"/>
        <v>254.97000000000003</v>
      </c>
      <c r="G8" s="18">
        <f t="shared" si="0"/>
        <v>0</v>
      </c>
      <c r="H8" s="18">
        <f t="shared" si="0"/>
        <v>0</v>
      </c>
      <c r="I8" s="18">
        <f t="shared" si="0"/>
        <v>0</v>
      </c>
      <c r="J8" s="18">
        <f t="shared" si="0"/>
        <v>0</v>
      </c>
      <c r="K8" s="18">
        <f t="shared" si="0"/>
        <v>0</v>
      </c>
      <c r="L8" s="18">
        <f t="shared" si="0"/>
        <v>0</v>
      </c>
      <c r="M8" s="18">
        <f t="shared" si="0"/>
        <v>0</v>
      </c>
      <c r="N8" s="18">
        <f t="shared" si="0"/>
        <v>0</v>
      </c>
      <c r="O8" s="18">
        <f t="shared" si="0"/>
        <v>0</v>
      </c>
      <c r="P8" s="18">
        <f t="shared" si="0"/>
        <v>0</v>
      </c>
      <c r="Q8" s="18">
        <f t="shared" si="0"/>
        <v>0</v>
      </c>
      <c r="R8" s="18">
        <f t="shared" si="0"/>
        <v>0</v>
      </c>
    </row>
    <row r="9" spans="1:18" x14ac:dyDescent="0.25">
      <c r="A9" s="10" t="s">
        <v>464</v>
      </c>
      <c r="C9" s="18">
        <f>Assumptions!$C$34</f>
        <v>900</v>
      </c>
      <c r="D9" s="18">
        <f>C9</f>
        <v>900</v>
      </c>
      <c r="E9" s="18">
        <f>MAX(0,D9-Assumptions!$C$34/3)</f>
        <v>600</v>
      </c>
      <c r="F9" s="18">
        <f>MAX(0,E9-Assumptions!$C$34/3)</f>
        <v>300</v>
      </c>
      <c r="G9" s="18">
        <f>MAX(0,F9-Assumptions!$C$34/3)</f>
        <v>0</v>
      </c>
      <c r="H9" s="18">
        <f t="shared" ref="H9:R9" si="1">G9</f>
        <v>0</v>
      </c>
      <c r="I9" s="18">
        <f t="shared" si="1"/>
        <v>0</v>
      </c>
      <c r="J9" s="18">
        <f t="shared" si="1"/>
        <v>0</v>
      </c>
      <c r="K9" s="18">
        <f t="shared" si="1"/>
        <v>0</v>
      </c>
      <c r="L9" s="18">
        <f t="shared" si="1"/>
        <v>0</v>
      </c>
      <c r="M9" s="18">
        <f t="shared" si="1"/>
        <v>0</v>
      </c>
      <c r="N9" s="18">
        <f t="shared" si="1"/>
        <v>0</v>
      </c>
      <c r="O9" s="18">
        <f t="shared" si="1"/>
        <v>0</v>
      </c>
      <c r="P9" s="18">
        <f t="shared" si="1"/>
        <v>0</v>
      </c>
      <c r="Q9" s="18">
        <f t="shared" si="1"/>
        <v>0</v>
      </c>
      <c r="R9" s="18">
        <f t="shared" si="1"/>
        <v>0</v>
      </c>
    </row>
    <row r="10" spans="1:18" x14ac:dyDescent="0.25">
      <c r="A10" s="10" t="s">
        <v>465</v>
      </c>
      <c r="C10" s="18">
        <v>0</v>
      </c>
      <c r="D10" s="18">
        <v>0</v>
      </c>
      <c r="E10" s="18">
        <v>0</v>
      </c>
      <c r="F10" s="18">
        <v>0</v>
      </c>
      <c r="G10" s="18">
        <v>0</v>
      </c>
      <c r="H10" s="18">
        <v>0</v>
      </c>
      <c r="I10" s="18">
        <v>0</v>
      </c>
      <c r="J10" s="18">
        <v>0</v>
      </c>
      <c r="K10" s="18">
        <v>0</v>
      </c>
      <c r="L10" s="18">
        <v>0</v>
      </c>
      <c r="M10" s="18">
        <v>0</v>
      </c>
      <c r="N10" s="18">
        <v>0</v>
      </c>
      <c r="O10" s="18">
        <v>0</v>
      </c>
      <c r="P10" s="18">
        <v>0</v>
      </c>
      <c r="Q10" s="18">
        <v>0</v>
      </c>
      <c r="R10" s="18">
        <v>0</v>
      </c>
    </row>
    <row r="11" spans="1:18" x14ac:dyDescent="0.25">
      <c r="A11" s="8" t="s">
        <v>466</v>
      </c>
      <c r="C11" s="32">
        <f t="shared" ref="C11:R11" si="2">C7+C8+C9+C10</f>
        <v>9738.1999999999989</v>
      </c>
      <c r="D11" s="32">
        <f t="shared" si="2"/>
        <v>8954.0254333333323</v>
      </c>
      <c r="E11" s="32">
        <f t="shared" si="2"/>
        <v>7869.8508666666667</v>
      </c>
      <c r="F11" s="32">
        <f t="shared" si="2"/>
        <v>6785.6763000000001</v>
      </c>
      <c r="G11" s="32">
        <f t="shared" si="2"/>
        <v>5743.5317333333332</v>
      </c>
      <c r="H11" s="32">
        <f t="shared" si="2"/>
        <v>5256.3571666666667</v>
      </c>
      <c r="I11" s="32">
        <f t="shared" si="2"/>
        <v>4769.1826000000001</v>
      </c>
      <c r="J11" s="32">
        <f t="shared" si="2"/>
        <v>4282.0080333333335</v>
      </c>
      <c r="K11" s="32">
        <f t="shared" si="2"/>
        <v>4150.0250209979049</v>
      </c>
      <c r="L11" s="32">
        <f t="shared" si="2"/>
        <v>3640.3549892235933</v>
      </c>
      <c r="M11" s="32">
        <f t="shared" si="2"/>
        <v>3130.6849574492817</v>
      </c>
      <c r="N11" s="32">
        <f t="shared" si="2"/>
        <v>2621.0149256749701</v>
      </c>
      <c r="O11" s="32">
        <f t="shared" si="2"/>
        <v>2111.3448939006585</v>
      </c>
      <c r="P11" s="32">
        <f t="shared" si="2"/>
        <v>1601.6748621263469</v>
      </c>
      <c r="Q11" s="32">
        <f t="shared" si="2"/>
        <v>1092.0048303520352</v>
      </c>
      <c r="R11" s="32">
        <f t="shared" si="2"/>
        <v>582.33479857772363</v>
      </c>
    </row>
    <row r="13" spans="1:18" ht="18" customHeight="1" x14ac:dyDescent="0.25">
      <c r="A13" s="6" t="s">
        <v>467</v>
      </c>
      <c r="B13" s="7"/>
      <c r="C13" s="7"/>
      <c r="D13" s="7"/>
    </row>
    <row r="14" spans="1:18" x14ac:dyDescent="0.25">
      <c r="A14" s="10" t="s">
        <v>468</v>
      </c>
      <c r="C14" s="18">
        <f>'Debt Schedule'!C10</f>
        <v>6628.6500000000005</v>
      </c>
      <c r="D14" s="18">
        <f>'Debt Schedule'!D10</f>
        <v>6628.6500000000005</v>
      </c>
      <c r="E14" s="18">
        <f>'Debt Schedule'!E10</f>
        <v>5855.1750000000002</v>
      </c>
      <c r="F14" s="18">
        <f>'Debt Schedule'!F10</f>
        <v>5081.7</v>
      </c>
      <c r="G14" s="18">
        <f>'Debt Schedule'!G10</f>
        <v>4308.2249999999995</v>
      </c>
      <c r="H14" s="18">
        <f>'Debt Schedule'!H10</f>
        <v>3834.7499999999995</v>
      </c>
      <c r="I14" s="18">
        <f>'Debt Schedule'!I10</f>
        <v>3361.2749999999996</v>
      </c>
      <c r="J14" s="18">
        <f>'Debt Schedule'!J10</f>
        <v>2887.7999999999997</v>
      </c>
      <c r="K14" s="18">
        <f>'Debt Schedule'!K10</f>
        <v>2414.3249999999998</v>
      </c>
      <c r="L14" s="18">
        <f>'Debt Schedule'!L10</f>
        <v>1940.85</v>
      </c>
      <c r="M14" s="18">
        <f>'Debt Schedule'!M10</f>
        <v>1467.375</v>
      </c>
      <c r="N14" s="18">
        <f>'Debt Schedule'!N10</f>
        <v>993.9</v>
      </c>
      <c r="O14" s="18">
        <f>'Debt Schedule'!O10</f>
        <v>520.42499999999995</v>
      </c>
      <c r="P14" s="18">
        <f>'Debt Schedule'!P10</f>
        <v>46.949999999999932</v>
      </c>
      <c r="Q14" s="18">
        <f>'Debt Schedule'!Q10</f>
        <v>0</v>
      </c>
      <c r="R14" s="18">
        <f>'Debt Schedule'!R10</f>
        <v>0</v>
      </c>
    </row>
    <row r="15" spans="1:18" x14ac:dyDescent="0.25">
      <c r="A15" s="10" t="s">
        <v>469</v>
      </c>
      <c r="C15" s="18">
        <f>Assumptions!$C$34</f>
        <v>900</v>
      </c>
      <c r="D15" s="18">
        <f>MAX(0,C15-'P&amp;L'!D9)</f>
        <v>840</v>
      </c>
      <c r="E15" s="18">
        <f>MAX(0,D15-'P&amp;L'!E9)</f>
        <v>780</v>
      </c>
      <c r="F15" s="18">
        <f>MAX(0,E15-'P&amp;L'!F9)</f>
        <v>720</v>
      </c>
      <c r="G15" s="18">
        <f>MAX(0,F15-'P&amp;L'!G9)</f>
        <v>660</v>
      </c>
      <c r="H15" s="18">
        <f>MAX(0,G15-'P&amp;L'!H9)</f>
        <v>600</v>
      </c>
      <c r="I15" s="18">
        <f>MAX(0,H15-'P&amp;L'!I9)</f>
        <v>540</v>
      </c>
      <c r="J15" s="18">
        <f>MAX(0,I15-'P&amp;L'!J9)</f>
        <v>480</v>
      </c>
      <c r="K15" s="18">
        <f>MAX(0,J15-'P&amp;L'!K9)</f>
        <v>420</v>
      </c>
      <c r="L15" s="18">
        <f>MAX(0,K15-'P&amp;L'!L9)</f>
        <v>360</v>
      </c>
      <c r="M15" s="18">
        <f>MAX(0,L15-'P&amp;L'!M9)</f>
        <v>300</v>
      </c>
      <c r="N15" s="18">
        <f>MAX(0,M15-'P&amp;L'!N9)</f>
        <v>240</v>
      </c>
      <c r="O15" s="18">
        <f>MAX(0,N15-'P&amp;L'!O9)</f>
        <v>180</v>
      </c>
      <c r="P15" s="18">
        <f>MAX(0,O15-'P&amp;L'!P9)</f>
        <v>120</v>
      </c>
      <c r="Q15" s="18">
        <f>MAX(0,P15-'P&amp;L'!Q9)</f>
        <v>60</v>
      </c>
      <c r="R15" s="18">
        <f>MAX(0,Q15-'P&amp;L'!R9)</f>
        <v>0</v>
      </c>
    </row>
    <row r="16" spans="1:18" x14ac:dyDescent="0.25">
      <c r="A16" s="10" t="s">
        <v>470</v>
      </c>
      <c r="C16" s="18">
        <f>Assumptions!$C$39</f>
        <v>2209.5500000000002</v>
      </c>
      <c r="D16" s="18">
        <f>Assumptions!$C$39</f>
        <v>2209.5500000000002</v>
      </c>
      <c r="E16" s="18">
        <f>Assumptions!$C$39</f>
        <v>2209.5500000000002</v>
      </c>
      <c r="F16" s="18">
        <f>Assumptions!$C$39</f>
        <v>2209.5500000000002</v>
      </c>
      <c r="G16" s="18">
        <f>Assumptions!$C$39</f>
        <v>2209.5500000000002</v>
      </c>
      <c r="H16" s="18">
        <f>Assumptions!$C$39</f>
        <v>2209.5500000000002</v>
      </c>
      <c r="I16" s="18">
        <f>Assumptions!$C$39</f>
        <v>2209.5500000000002</v>
      </c>
      <c r="J16" s="18">
        <f>Assumptions!$C$39</f>
        <v>2209.5500000000002</v>
      </c>
      <c r="K16" s="18">
        <f>Assumptions!$C$39</f>
        <v>2209.5500000000002</v>
      </c>
      <c r="L16" s="18">
        <f>Assumptions!$C$39</f>
        <v>2209.5500000000002</v>
      </c>
      <c r="M16" s="18">
        <f>Assumptions!$C$39</f>
        <v>2209.5500000000002</v>
      </c>
      <c r="N16" s="18">
        <f>Assumptions!$C$39</f>
        <v>2209.5500000000002</v>
      </c>
      <c r="O16" s="18">
        <f>Assumptions!$C$39</f>
        <v>2209.5500000000002</v>
      </c>
      <c r="P16" s="18">
        <f>Assumptions!$C$39</f>
        <v>2209.5500000000002</v>
      </c>
      <c r="Q16" s="18">
        <f>Assumptions!$C$39</f>
        <v>2209.5500000000002</v>
      </c>
      <c r="R16" s="18">
        <f>Assumptions!$C$39</f>
        <v>2209.5500000000002</v>
      </c>
    </row>
    <row r="17" spans="1:18" x14ac:dyDescent="0.25">
      <c r="A17" s="10" t="s">
        <v>471</v>
      </c>
      <c r="C17" s="18">
        <v>0</v>
      </c>
      <c r="D17" s="18">
        <f>C17+'P&amp;L'!D23-D26</f>
        <v>-724.17456666666658</v>
      </c>
      <c r="E17" s="18">
        <f>D17+'P&amp;L'!E23-E26</f>
        <v>-974.87413333333302</v>
      </c>
      <c r="F17" s="18">
        <f>E17+'P&amp;L'!F23-F26</f>
        <v>-1225.5736999999995</v>
      </c>
      <c r="G17" s="18">
        <f>F17+'P&amp;L'!G23-G26</f>
        <v>-1434.2432666666664</v>
      </c>
      <c r="H17" s="18">
        <f>G17+'P&amp;L'!H23-H26</f>
        <v>-1387.9428333333328</v>
      </c>
      <c r="I17" s="18">
        <f>H17+'P&amp;L'!I23-I26</f>
        <v>-1341.6423999999993</v>
      </c>
      <c r="J17" s="18">
        <f>I17+'P&amp;L'!J23-J26</f>
        <v>-1295.3419666666657</v>
      </c>
      <c r="K17" s="18">
        <f>J17+'P&amp;L'!K23-K26</f>
        <v>-893.84997900209419</v>
      </c>
      <c r="L17" s="18">
        <f>K17+'P&amp;L'!L23-L26</f>
        <v>-870.04501077640577</v>
      </c>
      <c r="M17" s="18">
        <f>L17+'P&amp;L'!M23-M26</f>
        <v>-846.24004255071725</v>
      </c>
      <c r="N17" s="18">
        <f>M17+'P&amp;L'!N23-N26</f>
        <v>-822.43507432502872</v>
      </c>
      <c r="O17" s="18">
        <f>N17+'P&amp;L'!O23-O26</f>
        <v>-798.63010609934031</v>
      </c>
      <c r="P17" s="18">
        <f>O17+'P&amp;L'!P23-P26</f>
        <v>-774.8251378736519</v>
      </c>
      <c r="Q17" s="18">
        <f>P17+'P&amp;L'!Q23-Q26</f>
        <v>-1177.5451696479636</v>
      </c>
      <c r="R17" s="18">
        <f>Q17+'P&amp;L'!R23-R26</f>
        <v>-1627.2152014222752</v>
      </c>
    </row>
    <row r="18" spans="1:18" x14ac:dyDescent="0.25">
      <c r="A18" s="8" t="s">
        <v>472</v>
      </c>
      <c r="C18" s="32">
        <f t="shared" ref="C18:R18" si="3">C14+C15+C16+C17</f>
        <v>9738.2000000000007</v>
      </c>
      <c r="D18" s="32">
        <f t="shared" si="3"/>
        <v>8954.0254333333341</v>
      </c>
      <c r="E18" s="32">
        <f t="shared" si="3"/>
        <v>7869.8508666666676</v>
      </c>
      <c r="F18" s="32">
        <f t="shared" si="3"/>
        <v>6785.676300000001</v>
      </c>
      <c r="G18" s="32">
        <f t="shared" si="3"/>
        <v>5743.5317333333332</v>
      </c>
      <c r="H18" s="32">
        <f t="shared" si="3"/>
        <v>5256.3571666666676</v>
      </c>
      <c r="I18" s="32">
        <f t="shared" si="3"/>
        <v>4769.1826000000001</v>
      </c>
      <c r="J18" s="32">
        <f t="shared" si="3"/>
        <v>4282.0080333333344</v>
      </c>
      <c r="K18" s="32">
        <f t="shared" si="3"/>
        <v>4150.0250209979058</v>
      </c>
      <c r="L18" s="32">
        <f t="shared" si="3"/>
        <v>3640.3549892235937</v>
      </c>
      <c r="M18" s="32">
        <f t="shared" si="3"/>
        <v>3130.684957449283</v>
      </c>
      <c r="N18" s="32">
        <f t="shared" si="3"/>
        <v>2621.0149256749714</v>
      </c>
      <c r="O18" s="32">
        <f t="shared" si="3"/>
        <v>2111.3448939006603</v>
      </c>
      <c r="P18" s="32">
        <f t="shared" si="3"/>
        <v>1601.6748621263482</v>
      </c>
      <c r="Q18" s="32">
        <f t="shared" si="3"/>
        <v>1092.0048303520366</v>
      </c>
      <c r="R18" s="32">
        <f t="shared" si="3"/>
        <v>582.334798577725</v>
      </c>
    </row>
    <row r="20" spans="1:18" x14ac:dyDescent="0.25">
      <c r="A20" s="8" t="s">
        <v>473</v>
      </c>
      <c r="C20" s="33">
        <f t="shared" ref="C20:R20" si="4">ROUND(C11-C18,2)</f>
        <v>0</v>
      </c>
      <c r="D20" s="33">
        <f t="shared" si="4"/>
        <v>0</v>
      </c>
      <c r="E20" s="33">
        <f t="shared" si="4"/>
        <v>0</v>
      </c>
      <c r="F20" s="33">
        <f t="shared" si="4"/>
        <v>0</v>
      </c>
      <c r="G20" s="33">
        <f t="shared" si="4"/>
        <v>0</v>
      </c>
      <c r="H20" s="33">
        <f t="shared" si="4"/>
        <v>0</v>
      </c>
      <c r="I20" s="33">
        <f t="shared" si="4"/>
        <v>0</v>
      </c>
      <c r="J20" s="33">
        <f t="shared" si="4"/>
        <v>0</v>
      </c>
      <c r="K20" s="33">
        <f t="shared" si="4"/>
        <v>0</v>
      </c>
      <c r="L20" s="33">
        <f t="shared" si="4"/>
        <v>0</v>
      </c>
      <c r="M20" s="33">
        <f t="shared" si="4"/>
        <v>0</v>
      </c>
      <c r="N20" s="33">
        <f t="shared" si="4"/>
        <v>0</v>
      </c>
      <c r="O20" s="33">
        <f t="shared" si="4"/>
        <v>0</v>
      </c>
      <c r="P20" s="33">
        <f t="shared" si="4"/>
        <v>0</v>
      </c>
      <c r="Q20" s="33">
        <f t="shared" si="4"/>
        <v>0</v>
      </c>
      <c r="R20" s="33">
        <f t="shared" si="4"/>
        <v>0</v>
      </c>
    </row>
    <row r="22" spans="1:18" ht="18" customHeight="1" x14ac:dyDescent="0.25">
      <c r="A22" s="6" t="s">
        <v>474</v>
      </c>
      <c r="B22" s="7"/>
      <c r="C22" s="7"/>
      <c r="D22" s="7"/>
    </row>
    <row r="23" spans="1:18" x14ac:dyDescent="0.25">
      <c r="A23" s="10" t="s">
        <v>424</v>
      </c>
      <c r="C23" s="18">
        <f>Revenue!C11*Assumptions!$C$18</f>
        <v>0</v>
      </c>
      <c r="D23" s="18">
        <f>Revenue!D11*Assumptions!$C$18</f>
        <v>297</v>
      </c>
      <c r="E23" s="18">
        <f>Revenue!E11*Assumptions!$C$18</f>
        <v>297</v>
      </c>
      <c r="F23" s="18">
        <f>Revenue!F11*Assumptions!$C$18</f>
        <v>297</v>
      </c>
      <c r="G23" s="18">
        <f>Revenue!G11*Assumptions!$C$18</f>
        <v>297</v>
      </c>
      <c r="H23" s="18">
        <f>Revenue!H11*Assumptions!$C$18</f>
        <v>297</v>
      </c>
      <c r="I23" s="18">
        <f>Revenue!I11*Assumptions!$C$18</f>
        <v>297</v>
      </c>
      <c r="J23" s="18">
        <f>Revenue!J11*Assumptions!$C$18</f>
        <v>297</v>
      </c>
      <c r="K23" s="18">
        <f>Revenue!K11*Assumptions!$C$18</f>
        <v>297</v>
      </c>
      <c r="L23" s="18">
        <f>Revenue!L11*Assumptions!$C$18</f>
        <v>297</v>
      </c>
      <c r="M23" s="18">
        <f>Revenue!M11*Assumptions!$C$18</f>
        <v>297</v>
      </c>
      <c r="N23" s="18">
        <f>Revenue!N11*Assumptions!$C$18</f>
        <v>297</v>
      </c>
      <c r="O23" s="18">
        <f>Revenue!O11*Assumptions!$C$18</f>
        <v>297</v>
      </c>
      <c r="P23" s="18">
        <f>Revenue!P11*Assumptions!$C$18</f>
        <v>297</v>
      </c>
      <c r="Q23" s="18">
        <f>Revenue!Q11*Assumptions!$C$18</f>
        <v>297</v>
      </c>
      <c r="R23" s="18">
        <f>Revenue!R11*Assumptions!$C$18</f>
        <v>469.125</v>
      </c>
    </row>
    <row r="24" spans="1:18" x14ac:dyDescent="0.25">
      <c r="A24" s="10" t="s">
        <v>475</v>
      </c>
      <c r="C24" s="18">
        <v>0</v>
      </c>
      <c r="D24" s="18">
        <f t="shared" ref="D24:R24" si="5">MIN(C8,D23)</f>
        <v>297</v>
      </c>
      <c r="E24" s="18">
        <f t="shared" si="5"/>
        <v>297</v>
      </c>
      <c r="F24" s="18">
        <f t="shared" si="5"/>
        <v>297</v>
      </c>
      <c r="G24" s="18">
        <f t="shared" si="5"/>
        <v>254.97000000000003</v>
      </c>
      <c r="H24" s="18">
        <f t="shared" si="5"/>
        <v>0</v>
      </c>
      <c r="I24" s="18">
        <f t="shared" si="5"/>
        <v>0</v>
      </c>
      <c r="J24" s="18">
        <f t="shared" si="5"/>
        <v>0</v>
      </c>
      <c r="K24" s="18">
        <f t="shared" si="5"/>
        <v>0</v>
      </c>
      <c r="L24" s="18">
        <f t="shared" si="5"/>
        <v>0</v>
      </c>
      <c r="M24" s="18">
        <f t="shared" si="5"/>
        <v>0</v>
      </c>
      <c r="N24" s="18">
        <f t="shared" si="5"/>
        <v>0</v>
      </c>
      <c r="O24" s="18">
        <f t="shared" si="5"/>
        <v>0</v>
      </c>
      <c r="P24" s="18">
        <f t="shared" si="5"/>
        <v>0</v>
      </c>
      <c r="Q24" s="18">
        <f t="shared" si="5"/>
        <v>0</v>
      </c>
      <c r="R24" s="18">
        <f t="shared" si="5"/>
        <v>0</v>
      </c>
    </row>
    <row r="25" spans="1:18" x14ac:dyDescent="0.25">
      <c r="A25" s="10" t="s">
        <v>476</v>
      </c>
      <c r="C25" s="18">
        <f t="shared" ref="C25:R25" si="6">C23-C24</f>
        <v>0</v>
      </c>
      <c r="D25" s="18">
        <f t="shared" si="6"/>
        <v>0</v>
      </c>
      <c r="E25" s="18">
        <f t="shared" si="6"/>
        <v>0</v>
      </c>
      <c r="F25" s="18">
        <f t="shared" si="6"/>
        <v>0</v>
      </c>
      <c r="G25" s="18">
        <f t="shared" si="6"/>
        <v>42.029999999999973</v>
      </c>
      <c r="H25" s="18">
        <f t="shared" si="6"/>
        <v>297</v>
      </c>
      <c r="I25" s="18">
        <f t="shared" si="6"/>
        <v>297</v>
      </c>
      <c r="J25" s="18">
        <f t="shared" si="6"/>
        <v>297</v>
      </c>
      <c r="K25" s="18">
        <f t="shared" si="6"/>
        <v>297</v>
      </c>
      <c r="L25" s="18">
        <f t="shared" si="6"/>
        <v>297</v>
      </c>
      <c r="M25" s="18">
        <f t="shared" si="6"/>
        <v>297</v>
      </c>
      <c r="N25" s="18">
        <f t="shared" si="6"/>
        <v>297</v>
      </c>
      <c r="O25" s="18">
        <f t="shared" si="6"/>
        <v>297</v>
      </c>
      <c r="P25" s="18">
        <f t="shared" si="6"/>
        <v>297</v>
      </c>
      <c r="Q25" s="18">
        <f t="shared" si="6"/>
        <v>297</v>
      </c>
      <c r="R25" s="18">
        <f t="shared" si="6"/>
        <v>469.125</v>
      </c>
    </row>
    <row r="26" spans="1:18" x14ac:dyDescent="0.25">
      <c r="A26" s="10" t="s">
        <v>477</v>
      </c>
      <c r="C26" s="18">
        <v>0</v>
      </c>
      <c r="D26" s="18">
        <f>'Cash Flow'!D23</f>
        <v>1124.1296749999999</v>
      </c>
      <c r="E26" s="18">
        <f>'Cash Flow'!E23</f>
        <v>645.02967499999977</v>
      </c>
      <c r="F26" s="18">
        <f>'Cash Flow'!F23</f>
        <v>678.75530697349996</v>
      </c>
      <c r="G26" s="18">
        <f>'Cash Flow'!G23</f>
        <v>662.65813569608781</v>
      </c>
      <c r="H26" s="18">
        <f>'Cash Flow'!H23</f>
        <v>437.56668822986944</v>
      </c>
      <c r="I26" s="18">
        <f>'Cash Flow'!I23</f>
        <v>447.75598900373939</v>
      </c>
      <c r="J26" s="18">
        <f>'Cash Flow'!J23</f>
        <v>460.73155328837197</v>
      </c>
      <c r="K26" s="18">
        <f>'Cash Flow'!K23</f>
        <v>134.25392799969006</v>
      </c>
      <c r="L26" s="18">
        <f>'Cash Flow'!L23</f>
        <v>504.67263798559611</v>
      </c>
      <c r="M26" s="18">
        <f>'Cash Flow'!M23</f>
        <v>521.79875298362185</v>
      </c>
      <c r="N26" s="18">
        <f>'Cash Flow'!N23</f>
        <v>540.48773598313119</v>
      </c>
      <c r="O26" s="18">
        <f>'Cash Flow'!O23</f>
        <v>560.45014996330258</v>
      </c>
      <c r="P26" s="18">
        <f>'Cash Flow'!P23</f>
        <v>581.43614580801852</v>
      </c>
      <c r="Q26" s="18">
        <f>'Cash Flow'!Q23</f>
        <v>1029.7544404684786</v>
      </c>
      <c r="R26" s="18">
        <f>'Cash Flow'!R23</f>
        <v>990.05598915869496</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R47"/>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42" customWidth="1"/>
    <col min="2" max="2" width="12" customWidth="1"/>
    <col min="3" max="18" width="11" customWidth="1"/>
  </cols>
  <sheetData>
    <row r="1" spans="1:18" ht="24" customHeight="1" x14ac:dyDescent="0.25">
      <c r="A1" s="66" t="s">
        <v>497</v>
      </c>
      <c r="B1" s="66"/>
      <c r="C1" s="66"/>
      <c r="D1" s="66"/>
      <c r="E1" s="66"/>
      <c r="F1" s="66"/>
      <c r="G1" s="66"/>
      <c r="H1" s="66"/>
      <c r="I1" s="66"/>
      <c r="J1" s="66"/>
      <c r="K1" s="66"/>
      <c r="L1" s="66"/>
      <c r="M1" s="66"/>
      <c r="N1" s="66"/>
      <c r="O1" s="66"/>
      <c r="P1" s="66"/>
      <c r="Q1" s="66"/>
      <c r="R1" s="66"/>
    </row>
    <row r="2" spans="1:18" ht="18" x14ac:dyDescent="0.25">
      <c r="A2" s="19" t="s">
        <v>478</v>
      </c>
    </row>
    <row r="3" spans="1:18" x14ac:dyDescent="0.25">
      <c r="A3" s="13" t="s">
        <v>479</v>
      </c>
    </row>
    <row r="5" spans="1:18" ht="18" customHeight="1" x14ac:dyDescent="0.25">
      <c r="A5" s="6" t="s">
        <v>480</v>
      </c>
      <c r="B5" s="7"/>
      <c r="C5" s="7"/>
      <c r="D5" s="7"/>
    </row>
    <row r="6" spans="1:18" x14ac:dyDescent="0.25">
      <c r="A6" s="14" t="s">
        <v>360</v>
      </c>
      <c r="C6" s="43" t="s">
        <v>333</v>
      </c>
      <c r="D6" s="43">
        <v>1</v>
      </c>
      <c r="E6" s="43">
        <v>2</v>
      </c>
      <c r="F6" s="43">
        <v>3</v>
      </c>
      <c r="G6" s="43">
        <v>4</v>
      </c>
      <c r="H6" s="43">
        <v>5</v>
      </c>
      <c r="I6" s="43">
        <v>6</v>
      </c>
      <c r="J6" s="43">
        <v>7</v>
      </c>
      <c r="K6" s="43">
        <v>8</v>
      </c>
      <c r="L6" s="43">
        <v>9</v>
      </c>
      <c r="M6" s="43">
        <v>10</v>
      </c>
      <c r="N6" s="43">
        <v>11</v>
      </c>
      <c r="O6" s="43">
        <v>12</v>
      </c>
      <c r="P6" s="43">
        <v>13</v>
      </c>
      <c r="Q6" s="43">
        <v>14</v>
      </c>
      <c r="R6" s="43">
        <v>15</v>
      </c>
    </row>
    <row r="8" spans="1:18" x14ac:dyDescent="0.25">
      <c r="A8" s="10" t="s">
        <v>399</v>
      </c>
      <c r="C8" s="18">
        <v>0</v>
      </c>
      <c r="D8" s="18">
        <f>Revenue!D7+Revenue!D9+(Assumptions!$C$7*Assumptions!$C$77*(0.95-1)*Revenue!D6)</f>
        <v>1567.5</v>
      </c>
      <c r="E8" s="18">
        <f>Revenue!E7+Revenue!E9+(Assumptions!$C$7*Assumptions!$C$77*(0.95-1)*Revenue!E6)</f>
        <v>1567.5</v>
      </c>
      <c r="F8" s="18">
        <f>Revenue!F7+Revenue!F9+(Assumptions!$C$7*Assumptions!$C$77*(0.95-1)*Revenue!F6)</f>
        <v>1567.5</v>
      </c>
      <c r="G8" s="18">
        <f>Revenue!G7+Revenue!G9+(Assumptions!$C$7*Assumptions!$C$77*(0.95-1)*Revenue!G6)</f>
        <v>1567.5</v>
      </c>
      <c r="H8" s="18">
        <f>Revenue!H7+Revenue!H9+(Assumptions!$C$7*Assumptions!$C$77*(0.95-1)*Revenue!H6)</f>
        <v>1567.5</v>
      </c>
      <c r="I8" s="18">
        <f>Revenue!I7+Revenue!I9+(Assumptions!$C$7*Assumptions!$C$77*(0.95-1)*Revenue!I6)</f>
        <v>1567.5</v>
      </c>
      <c r="J8" s="18">
        <f>Revenue!J7+Revenue!J9+(Assumptions!$C$7*Assumptions!$C$77*(0.95-1)*Revenue!J6)</f>
        <v>1567.5</v>
      </c>
      <c r="K8" s="18">
        <f>Revenue!K7+Revenue!K9+(Assumptions!$C$7*Assumptions!$C$77*(0.95-1)*Revenue!K6)</f>
        <v>1567.5</v>
      </c>
      <c r="L8" s="18">
        <f>Revenue!L7+Revenue!L9+(Assumptions!$C$7*Assumptions!$C$77*(0.95-1)*Revenue!L6)</f>
        <v>1567.5</v>
      </c>
      <c r="M8" s="18">
        <f>Revenue!M7+Revenue!M9+(Assumptions!$C$7*Assumptions!$C$77*(0.95-1)*Revenue!M6)</f>
        <v>1567.5</v>
      </c>
      <c r="N8" s="18">
        <f>Revenue!N7+Revenue!N9+(Assumptions!$C$7*Assumptions!$C$77*(0.95-1)*Revenue!N6)</f>
        <v>1567.5</v>
      </c>
      <c r="O8" s="18">
        <f>Revenue!O7+Revenue!O9+(Assumptions!$C$7*Assumptions!$C$77*(0.95-1)*Revenue!O6)</f>
        <v>1567.5</v>
      </c>
      <c r="P8" s="18">
        <f>Revenue!P7+Revenue!P9+(Assumptions!$C$7*Assumptions!$C$77*(0.95-1)*Revenue!P6)</f>
        <v>1567.5</v>
      </c>
      <c r="Q8" s="18">
        <f>Revenue!Q7+Revenue!Q9+(Assumptions!$C$7*Assumptions!$C$77*(0.95-1)*Revenue!Q6)</f>
        <v>1567.5</v>
      </c>
      <c r="R8" s="18">
        <f>Revenue!R7+Revenue!R9+(Assumptions!$C$7*Assumptions!$C$77*(0.95-1)*Revenue!R6)</f>
        <v>1567.5</v>
      </c>
    </row>
    <row r="9" spans="1:18" x14ac:dyDescent="0.25">
      <c r="A9" s="10" t="s">
        <v>400</v>
      </c>
      <c r="C9" s="18">
        <f>C8-Opex!C8</f>
        <v>0</v>
      </c>
      <c r="D9" s="18">
        <f>D8-Opex!D8</f>
        <v>1424.0663</v>
      </c>
      <c r="E9" s="18">
        <f>E8-Opex!E8</f>
        <v>1418.4413</v>
      </c>
      <c r="F9" s="18">
        <f>F8-Opex!F8</f>
        <v>1412.53505</v>
      </c>
      <c r="G9" s="18">
        <f>G8-Opex!G8</f>
        <v>1406.3334875</v>
      </c>
      <c r="H9" s="18">
        <f>H8-Opex!H8</f>
        <v>1399.8218468750001</v>
      </c>
      <c r="I9" s="18">
        <f>I8-Opex!I8</f>
        <v>1392.98462421875</v>
      </c>
      <c r="J9" s="18">
        <f>J8-Opex!J8</f>
        <v>1385.8055404296874</v>
      </c>
      <c r="K9" s="18">
        <f>K8-Opex!K8</f>
        <v>1378.2675024511718</v>
      </c>
      <c r="L9" s="18">
        <f>L8-Opex!L8</f>
        <v>1370.3525625737304</v>
      </c>
      <c r="M9" s="18">
        <f>M8-Opex!M8</f>
        <v>1362.041875702417</v>
      </c>
      <c r="N9" s="18">
        <f>N8-Opex!N8</f>
        <v>1353.3156544875378</v>
      </c>
      <c r="O9" s="18">
        <f>O8-Opex!O8</f>
        <v>1344.1531222119147</v>
      </c>
      <c r="P9" s="18">
        <f>P8-Opex!P8</f>
        <v>1334.5324633225105</v>
      </c>
      <c r="Q9" s="18">
        <f>Q8-Opex!Q8</f>
        <v>1324.4307714886359</v>
      </c>
      <c r="R9" s="18">
        <f>R8-Opex!R8</f>
        <v>1313.8239950630677</v>
      </c>
    </row>
    <row r="10" spans="1:18" x14ac:dyDescent="0.25">
      <c r="A10" s="10" t="s">
        <v>481</v>
      </c>
      <c r="C10" s="18">
        <f>Depreciation!C27</f>
        <v>0</v>
      </c>
      <c r="D10" s="18">
        <f>Depreciation!D27</f>
        <v>487.17456666666664</v>
      </c>
      <c r="E10" s="18">
        <f>Depreciation!E27</f>
        <v>487.17456666666664</v>
      </c>
      <c r="F10" s="18">
        <f>Depreciation!F27</f>
        <v>487.17456666666664</v>
      </c>
      <c r="G10" s="18">
        <f>Depreciation!G27</f>
        <v>487.17456666666664</v>
      </c>
      <c r="H10" s="18">
        <f>Depreciation!H27</f>
        <v>487.17456666666664</v>
      </c>
      <c r="I10" s="18">
        <f>Depreciation!I27</f>
        <v>487.17456666666664</v>
      </c>
      <c r="J10" s="18">
        <f>Depreciation!J27</f>
        <v>487.17456666666664</v>
      </c>
      <c r="K10" s="18">
        <f>Depreciation!K27</f>
        <v>487.17456666666664</v>
      </c>
      <c r="L10" s="18">
        <f>Depreciation!L27</f>
        <v>509.67003177431167</v>
      </c>
      <c r="M10" s="18">
        <f>Depreciation!M27</f>
        <v>509.67003177431167</v>
      </c>
      <c r="N10" s="18">
        <f>Depreciation!N27</f>
        <v>509.67003177431167</v>
      </c>
      <c r="O10" s="18">
        <f>Depreciation!O27</f>
        <v>509.67003177431167</v>
      </c>
      <c r="P10" s="18">
        <f>Depreciation!P27</f>
        <v>509.67003177431167</v>
      </c>
      <c r="Q10" s="18">
        <f>Depreciation!Q27</f>
        <v>509.67003177431167</v>
      </c>
      <c r="R10" s="18">
        <f>Depreciation!R27</f>
        <v>509.67003177431167</v>
      </c>
    </row>
    <row r="11" spans="1:18" x14ac:dyDescent="0.25">
      <c r="A11" s="10" t="s">
        <v>482</v>
      </c>
      <c r="C11" s="18">
        <f>C9-C10+'P&amp;L'!C9-'Debt Schedule'!C7</f>
        <v>0</v>
      </c>
      <c r="D11" s="18">
        <f>D9-D10+'P&amp;L'!D9-'Debt Schedule'!D7</f>
        <v>317.45510833333333</v>
      </c>
      <c r="E11" s="18">
        <f>E9-E10+'P&amp;L'!E9-'Debt Schedule'!E7</f>
        <v>311.83010833333333</v>
      </c>
      <c r="F11" s="18">
        <f>F9-F10+'P&amp;L'!F9-'Debt Schedule'!F7</f>
        <v>385.20504583333343</v>
      </c>
      <c r="G11" s="18">
        <f>G9-G10+'P&amp;L'!G9-'Debt Schedule'!G7</f>
        <v>458.28467083333351</v>
      </c>
      <c r="H11" s="18">
        <f>H9-H10+'P&amp;L'!H9-'Debt Schedule'!H7</f>
        <v>531.05421770833368</v>
      </c>
      <c r="I11" s="18">
        <f>I9-I10+'P&amp;L'!I9-'Debt Schedule'!I7</f>
        <v>572.74818255208356</v>
      </c>
      <c r="J11" s="18">
        <f>J9-J10+'P&amp;L'!J9-'Debt Schedule'!J7</f>
        <v>614.10028626302096</v>
      </c>
      <c r="K11" s="18">
        <f>K9-K10+'P&amp;L'!K9-'Debt Schedule'!K7</f>
        <v>655.09343578450535</v>
      </c>
      <c r="L11" s="18">
        <f>L9-L10+'P&amp;L'!L9-'Debt Schedule'!L7</f>
        <v>673.21421829941892</v>
      </c>
      <c r="M11" s="18">
        <f>M9-M10+'P&amp;L'!M9-'Debt Schedule'!M7</f>
        <v>713.43471892810544</v>
      </c>
      <c r="N11" s="18">
        <f>N9-N10+'P&amp;L'!N9-'Debt Schedule'!N7</f>
        <v>753.23968521322627</v>
      </c>
      <c r="O11" s="18">
        <f>O9-O10+'P&amp;L'!O9-'Debt Schedule'!O7</f>
        <v>792.60834043760315</v>
      </c>
      <c r="P11" s="18">
        <f>P9-P10+'P&amp;L'!P9-'Debt Schedule'!P7</f>
        <v>831.51886904819889</v>
      </c>
      <c r="Q11" s="18">
        <f>Q9-Q10+'P&amp;L'!Q9-'Debt Schedule'!Q7</f>
        <v>869.94836471432427</v>
      </c>
      <c r="R11" s="18">
        <f>R9-R10+'P&amp;L'!R9-'Debt Schedule'!R7</f>
        <v>864.15396328875613</v>
      </c>
    </row>
    <row r="12" spans="1:18" x14ac:dyDescent="0.25">
      <c r="A12" s="10" t="s">
        <v>483</v>
      </c>
      <c r="C12" s="18">
        <f>Depreciation!C18</f>
        <v>0</v>
      </c>
      <c r="D12" s="18">
        <f>Depreciation!D18</f>
        <v>1087.548</v>
      </c>
      <c r="E12" s="18">
        <f>Depreciation!E18</f>
        <v>931.04444999999987</v>
      </c>
      <c r="F12" s="18">
        <f>Depreciation!F18</f>
        <v>797.35356749999994</v>
      </c>
      <c r="G12" s="18">
        <f>Depreciation!G18</f>
        <v>683.11973887499994</v>
      </c>
      <c r="H12" s="18">
        <f>Depreciation!H18</f>
        <v>585.48406389374998</v>
      </c>
      <c r="I12" s="18">
        <f>Depreciation!I18</f>
        <v>502.01051157468748</v>
      </c>
      <c r="J12" s="18">
        <f>Depreciation!J18</f>
        <v>430.6230863769843</v>
      </c>
      <c r="K12" s="18">
        <f>Depreciation!K18</f>
        <v>422.83109295477243</v>
      </c>
      <c r="L12" s="18">
        <f>Depreciation!L18</f>
        <v>362.57689175774158</v>
      </c>
      <c r="M12" s="18">
        <f>Depreciation!M18</f>
        <v>311.04377446564683</v>
      </c>
      <c r="N12" s="18">
        <f>Depreciation!N18</f>
        <v>266.95528312020969</v>
      </c>
      <c r="O12" s="18">
        <f>Depreciation!O18</f>
        <v>229.2232579941471</v>
      </c>
      <c r="P12" s="18">
        <f>Depreciation!P18</f>
        <v>196.919909902797</v>
      </c>
      <c r="Q12" s="18">
        <f>Depreciation!Q18</f>
        <v>169.25404996437223</v>
      </c>
      <c r="R12" s="18">
        <f>Depreciation!R18</f>
        <v>145.5508563620117</v>
      </c>
    </row>
    <row r="13" spans="1:18" x14ac:dyDescent="0.25">
      <c r="A13" s="10" t="s">
        <v>484</v>
      </c>
      <c r="C13" s="18">
        <f>Depreciation!C22-Depreciation!C23</f>
        <v>0</v>
      </c>
      <c r="D13" s="18">
        <f>Depreciation!D22-Depreciation!D23</f>
        <v>0</v>
      </c>
      <c r="E13" s="18">
        <f>Depreciation!E22-Depreciation!E23</f>
        <v>0</v>
      </c>
      <c r="F13" s="18">
        <f>Depreciation!F22-Depreciation!F23</f>
        <v>0</v>
      </c>
      <c r="G13" s="18">
        <f>Depreciation!G22-Depreciation!G23</f>
        <v>0</v>
      </c>
      <c r="H13" s="18">
        <f>Depreciation!H22-Depreciation!H23</f>
        <v>0</v>
      </c>
      <c r="I13" s="18">
        <f>Depreciation!I22-Depreciation!I23</f>
        <v>0</v>
      </c>
      <c r="J13" s="18">
        <f>Depreciation!J22-Depreciation!J23</f>
        <v>0</v>
      </c>
      <c r="K13" s="18">
        <f>Depreciation!K22-Depreciation!K23</f>
        <v>0</v>
      </c>
      <c r="L13" s="18">
        <f>Depreciation!L22-Depreciation!L23</f>
        <v>0</v>
      </c>
      <c r="M13" s="18">
        <f>Depreciation!M22-Depreciation!M23</f>
        <v>0</v>
      </c>
      <c r="N13" s="18">
        <f>Depreciation!N22-Depreciation!N23</f>
        <v>0</v>
      </c>
      <c r="O13" s="18">
        <f>Depreciation!O22-Depreciation!O23</f>
        <v>0</v>
      </c>
      <c r="P13" s="18">
        <f>Depreciation!P22-Depreciation!P23</f>
        <v>0</v>
      </c>
      <c r="Q13" s="18">
        <f>Depreciation!Q22-Depreciation!Q23</f>
        <v>0</v>
      </c>
      <c r="R13" s="18">
        <f>Depreciation!R22-Depreciation!R23</f>
        <v>303.32303096272119</v>
      </c>
    </row>
    <row r="14" spans="1:18" x14ac:dyDescent="0.25">
      <c r="A14" s="10" t="s">
        <v>409</v>
      </c>
      <c r="C14" s="18">
        <f>C9-C12+'P&amp;L'!C9-'Debt Schedule'!C7+C13</f>
        <v>0</v>
      </c>
      <c r="D14" s="18">
        <f>D9-D12+'P&amp;L'!D9-'Debt Schedule'!D7+D13</f>
        <v>-282.9183250000001</v>
      </c>
      <c r="E14" s="18">
        <f>E9-E12+'P&amp;L'!E9-'Debt Schedule'!E7+E13</f>
        <v>-132.03977499999996</v>
      </c>
      <c r="F14" s="18">
        <f>F9-F12+'P&amp;L'!F9-'Debt Schedule'!F7+F13</f>
        <v>75.026045000000067</v>
      </c>
      <c r="G14" s="18">
        <f>G9-G12+'P&amp;L'!G9-'Debt Schedule'!G7+G13</f>
        <v>262.33949862500015</v>
      </c>
      <c r="H14" s="18">
        <f>H9-H12+'P&amp;L'!H9-'Debt Schedule'!H7+H13</f>
        <v>432.74472048125023</v>
      </c>
      <c r="I14" s="18">
        <f>I9-I12+'P&amp;L'!I9-'Debt Schedule'!I7+I13</f>
        <v>557.91223764406254</v>
      </c>
      <c r="J14" s="18">
        <f>J9-J12+'P&amp;L'!J9-'Debt Schedule'!J7+J13</f>
        <v>670.65176655270329</v>
      </c>
      <c r="K14" s="18">
        <f>K9-K12+'P&amp;L'!K9-'Debt Schedule'!K7+K13</f>
        <v>719.43690949639949</v>
      </c>
      <c r="L14" s="18">
        <f>L9-L12+'P&amp;L'!L9-'Debt Schedule'!L7+L13</f>
        <v>820.30735831598895</v>
      </c>
      <c r="M14" s="18">
        <f>M9-M12+'P&amp;L'!M9-'Debt Schedule'!M7+M13</f>
        <v>912.06097623677033</v>
      </c>
      <c r="N14" s="18">
        <f>N9-N12+'P&amp;L'!N9-'Debt Schedule'!N7+N13</f>
        <v>995.95443386732813</v>
      </c>
      <c r="O14" s="18">
        <f>O9-O12+'P&amp;L'!O9-'Debt Schedule'!O7+O13</f>
        <v>1073.0551142177676</v>
      </c>
      <c r="P14" s="18">
        <f>P9-P12+'P&amp;L'!P9-'Debt Schedule'!P7+P13</f>
        <v>1144.2689909197136</v>
      </c>
      <c r="Q14" s="18">
        <f>Q9-Q12+'P&amp;L'!Q9-'Debt Schedule'!Q7+Q13</f>
        <v>1210.3643465242637</v>
      </c>
      <c r="R14" s="18">
        <f>R9-R12+'P&amp;L'!R9-'Debt Schedule'!R7+R13</f>
        <v>1531.5961696637773</v>
      </c>
    </row>
    <row r="15" spans="1:18" x14ac:dyDescent="0.25">
      <c r="A15" s="10" t="s">
        <v>485</v>
      </c>
      <c r="C15" s="18">
        <f>MAX(0,C14)*Assumptions!$C$67</f>
        <v>0</v>
      </c>
      <c r="D15" s="18">
        <f>MAX(0,D14)*Assumptions!$C$67</f>
        <v>0</v>
      </c>
      <c r="E15" s="18">
        <f>MAX(0,E14)*Assumptions!$C$67</f>
        <v>0</v>
      </c>
      <c r="F15" s="18">
        <f>MAX(0,F14)*Assumptions!$C$67</f>
        <v>18.884055526500017</v>
      </c>
      <c r="G15" s="18">
        <f>MAX(0,G14)*Assumptions!$C$67</f>
        <v>66.030851803912526</v>
      </c>
      <c r="H15" s="18">
        <f>MAX(0,H14)*Assumptions!$C$67</f>
        <v>108.92184614513067</v>
      </c>
      <c r="I15" s="18">
        <f>MAX(0,I14)*Assumptions!$C$67</f>
        <v>140.42651021501052</v>
      </c>
      <c r="J15" s="18">
        <f>MAX(0,J14)*Assumptions!$C$67</f>
        <v>168.8030496413154</v>
      </c>
      <c r="K15" s="18">
        <f>MAX(0,K14)*Assumptions!$C$67</f>
        <v>181.08227012024375</v>
      </c>
      <c r="L15" s="18">
        <f>MAX(0,L14)*Assumptions!$C$67</f>
        <v>206.47136208813441</v>
      </c>
      <c r="M15" s="18">
        <f>MAX(0,M14)*Assumptions!$C$67</f>
        <v>229.56574771879508</v>
      </c>
      <c r="N15" s="18">
        <f>MAX(0,N14)*Assumptions!$C$67</f>
        <v>250.68173100440646</v>
      </c>
      <c r="O15" s="18">
        <f>MAX(0,O14)*Assumptions!$C$67</f>
        <v>270.08797224861206</v>
      </c>
      <c r="P15" s="18">
        <f>MAX(0,P14)*Assumptions!$C$67</f>
        <v>288.01250501449186</v>
      </c>
      <c r="Q15" s="18">
        <f>MAX(0,Q14)*Assumptions!$C$67</f>
        <v>304.64870602015714</v>
      </c>
      <c r="R15" s="18">
        <f>MAX(0,R14)*Assumptions!$C$67</f>
        <v>385.50275590437275</v>
      </c>
    </row>
    <row r="16" spans="1:18" x14ac:dyDescent="0.25">
      <c r="A16" s="10" t="s">
        <v>486</v>
      </c>
      <c r="C16" s="18">
        <f t="shared" ref="C16:R16" si="0">C11-C15</f>
        <v>0</v>
      </c>
      <c r="D16" s="18">
        <f t="shared" si="0"/>
        <v>317.45510833333333</v>
      </c>
      <c r="E16" s="18">
        <f t="shared" si="0"/>
        <v>311.83010833333333</v>
      </c>
      <c r="F16" s="18">
        <f t="shared" si="0"/>
        <v>366.32099030683344</v>
      </c>
      <c r="G16" s="18">
        <f t="shared" si="0"/>
        <v>392.25381902942098</v>
      </c>
      <c r="H16" s="18">
        <f t="shared" si="0"/>
        <v>422.13237156320304</v>
      </c>
      <c r="I16" s="18">
        <f t="shared" si="0"/>
        <v>432.32167233707304</v>
      </c>
      <c r="J16" s="18">
        <f t="shared" si="0"/>
        <v>445.29723662170557</v>
      </c>
      <c r="K16" s="18">
        <f t="shared" si="0"/>
        <v>474.01116566426163</v>
      </c>
      <c r="L16" s="18">
        <f t="shared" si="0"/>
        <v>466.7428562112845</v>
      </c>
      <c r="M16" s="18">
        <f t="shared" si="0"/>
        <v>483.86897120931036</v>
      </c>
      <c r="N16" s="18">
        <f t="shared" si="0"/>
        <v>502.55795420881981</v>
      </c>
      <c r="O16" s="18">
        <f t="shared" si="0"/>
        <v>522.52036818899114</v>
      </c>
      <c r="P16" s="18">
        <f t="shared" si="0"/>
        <v>543.50636403370709</v>
      </c>
      <c r="Q16" s="18">
        <f t="shared" si="0"/>
        <v>565.29965869416719</v>
      </c>
      <c r="R16" s="18">
        <f t="shared" si="0"/>
        <v>478.65120738438338</v>
      </c>
    </row>
    <row r="17" spans="1:18" x14ac:dyDescent="0.25">
      <c r="A17" s="10" t="s">
        <v>487</v>
      </c>
      <c r="C17" s="18">
        <f>C16+C10+'Debt Schedule'!C7-'P&amp;L'!C9</f>
        <v>0</v>
      </c>
      <c r="D17" s="18">
        <f>D16+D10+'Debt Schedule'!D7-'P&amp;L'!D9</f>
        <v>1424.0663</v>
      </c>
      <c r="E17" s="18">
        <f>E16+E10+'Debt Schedule'!E7-'P&amp;L'!E9</f>
        <v>1418.4413</v>
      </c>
      <c r="F17" s="18">
        <f>F16+F10+'Debt Schedule'!F7-'P&amp;L'!F9</f>
        <v>1393.6509944734998</v>
      </c>
      <c r="G17" s="18">
        <f>G16+G10+'Debt Schedule'!G7-'P&amp;L'!G9</f>
        <v>1340.3026356960877</v>
      </c>
      <c r="H17" s="18">
        <f>H16+H10+'Debt Schedule'!H7-'P&amp;L'!H9</f>
        <v>1290.9000007298696</v>
      </c>
      <c r="I17" s="18">
        <f>I16+I10+'Debt Schedule'!I7-'P&amp;L'!I9</f>
        <v>1252.5581140037395</v>
      </c>
      <c r="J17" s="18">
        <f>J16+J10+'Debt Schedule'!J7-'P&amp;L'!J9</f>
        <v>1217.0024907883721</v>
      </c>
      <c r="K17" s="18">
        <f>K16+K10+'Debt Schedule'!K7-'P&amp;L'!K9</f>
        <v>1197.1852323309281</v>
      </c>
      <c r="L17" s="18">
        <f>L16+L10+'Debt Schedule'!L7-'P&amp;L'!L9</f>
        <v>1163.8812004855961</v>
      </c>
      <c r="M17" s="18">
        <f>M16+M10+'Debt Schedule'!M7-'P&amp;L'!M9</f>
        <v>1132.4761279836221</v>
      </c>
      <c r="N17" s="18">
        <f>N16+N10+'Debt Schedule'!N7-'P&amp;L'!N9</f>
        <v>1102.6339234831314</v>
      </c>
      <c r="O17" s="18">
        <f>O16+O10+'Debt Schedule'!O7-'P&amp;L'!O9</f>
        <v>1074.0651499633027</v>
      </c>
      <c r="P17" s="18">
        <f>P16+P10+'Debt Schedule'!P7-'P&amp;L'!P9</f>
        <v>1046.5199583080187</v>
      </c>
      <c r="Q17" s="18">
        <f>Q16+Q10+'Debt Schedule'!Q7-'P&amp;L'!Q9</f>
        <v>1019.7820654684788</v>
      </c>
      <c r="R17" s="18">
        <f>R16+R10+'Debt Schedule'!R7-'P&amp;L'!R9</f>
        <v>928.32123915869511</v>
      </c>
    </row>
    <row r="18" spans="1:18" x14ac:dyDescent="0.25">
      <c r="A18" s="10" t="s">
        <v>423</v>
      </c>
      <c r="C18" s="58" t="str">
        <f>"n/a"</f>
        <v>n/a</v>
      </c>
      <c r="D18" s="15">
        <f>IF('Debt Schedule'!D11=0,"n/a",D17/'Debt Schedule'!D11)</f>
        <v>2.095951627570857</v>
      </c>
      <c r="E18" s="15">
        <f>IF('Debt Schedule'!E11=0,"n/a",E17/'Debt Schedule'!E11)</f>
        <v>1.2303122539856424</v>
      </c>
      <c r="F18" s="15">
        <f>IF('Debt Schedule'!F11=0,"n/a",F17/'Debt Schedule'!F11)</f>
        <v>1.2980732902083916</v>
      </c>
      <c r="G18" s="15">
        <f>IF('Debt Schedule'!G11=0,"n/a",G17/'Debt Schedule'!G11)</f>
        <v>1.3479193911958878</v>
      </c>
      <c r="H18" s="15">
        <f>IF('Debt Schedule'!H11=0,"n/a",H17/'Debt Schedule'!H11)</f>
        <v>1.4107147365662427</v>
      </c>
      <c r="I18" s="15">
        <f>IF('Debt Schedule'!I11=0,"n/a",I17/'Debt Schedule'!I11)</f>
        <v>1.4454758362172868</v>
      </c>
      <c r="J18" s="15">
        <f>IF('Debt Schedule'!J11=0,"n/a",J17/'Debt Schedule'!J11)</f>
        <v>1.4877677617472216</v>
      </c>
      <c r="K18" s="15">
        <f>IF('Debt Schedule'!K11=0,"n/a",K17/'Debt Schedule'!K11)</f>
        <v>1.5558478316447499</v>
      </c>
      <c r="L18" s="15">
        <f>IF('Debt Schedule'!L11=0,"n/a",L17/'Debt Schedule'!L11)</f>
        <v>1.6143865686882226</v>
      </c>
      <c r="M18" s="15">
        <f>IF('Debt Schedule'!M11=0,"n/a",M17/'Debt Schedule'!M11)</f>
        <v>1.6841994453678568</v>
      </c>
      <c r="N18" s="15">
        <f>IF('Debt Schedule'!N11=0,"n/a",N17/'Debt Schedule'!N11)</f>
        <v>1.767378769259369</v>
      </c>
      <c r="O18" s="15">
        <f>IF('Debt Schedule'!O11=0,"n/a",O17/'Debt Schedule'!O11)</f>
        <v>1.8668038874846173</v>
      </c>
      <c r="P18" s="15">
        <f>IF('Debt Schedule'!P11=0,"n/a",P17/'Debt Schedule'!P11)</f>
        <v>1.9864902886902711</v>
      </c>
      <c r="Q18" s="15">
        <f>IF('Debt Schedule'!Q11=0,"n/a",Q17/'Debt Schedule'!Q11)</f>
        <v>19.701222470346082</v>
      </c>
      <c r="R18" s="15" t="str">
        <f>IF('Debt Schedule'!R11=0,"n/a",R17/'Debt Schedule'!R11)</f>
        <v>n/a</v>
      </c>
    </row>
    <row r="19" spans="1:18" x14ac:dyDescent="0.25">
      <c r="A19" s="10" t="s">
        <v>488</v>
      </c>
      <c r="C19" s="18">
        <f>C8*Assumptions!$C$18</f>
        <v>0</v>
      </c>
      <c r="D19" s="18">
        <f>D8*Assumptions!$C$18</f>
        <v>282.14999999999998</v>
      </c>
      <c r="E19" s="18">
        <f>E8*Assumptions!$C$18</f>
        <v>282.14999999999998</v>
      </c>
      <c r="F19" s="18">
        <f>F8*Assumptions!$C$18</f>
        <v>282.14999999999998</v>
      </c>
      <c r="G19" s="18">
        <f>G8*Assumptions!$C$18</f>
        <v>282.14999999999998</v>
      </c>
      <c r="H19" s="18">
        <f>H8*Assumptions!$C$18</f>
        <v>282.14999999999998</v>
      </c>
      <c r="I19" s="18">
        <f>I8*Assumptions!$C$18</f>
        <v>282.14999999999998</v>
      </c>
      <c r="J19" s="18">
        <f>J8*Assumptions!$C$18</f>
        <v>282.14999999999998</v>
      </c>
      <c r="K19" s="18">
        <f>K8*Assumptions!$C$18</f>
        <v>282.14999999999998</v>
      </c>
      <c r="L19" s="18">
        <f>L8*Assumptions!$C$18</f>
        <v>282.14999999999998</v>
      </c>
      <c r="M19" s="18">
        <f>M8*Assumptions!$C$18</f>
        <v>282.14999999999998</v>
      </c>
      <c r="N19" s="18">
        <f>N8*Assumptions!$C$18</f>
        <v>282.14999999999998</v>
      </c>
      <c r="O19" s="18">
        <f>O8*Assumptions!$C$18</f>
        <v>282.14999999999998</v>
      </c>
      <c r="P19" s="18">
        <f>P8*Assumptions!$C$18</f>
        <v>282.14999999999998</v>
      </c>
      <c r="Q19" s="18">
        <f>Q8*Assumptions!$C$18</f>
        <v>282.14999999999998</v>
      </c>
      <c r="R19" s="18">
        <f>R8*Assumptions!$C$18</f>
        <v>282.14999999999998</v>
      </c>
    </row>
    <row r="20" spans="1:18" x14ac:dyDescent="0.25">
      <c r="A20" s="10" t="s">
        <v>425</v>
      </c>
      <c r="C20" s="18">
        <f>Assumptions!$C$29</f>
        <v>1145.97</v>
      </c>
      <c r="D20" s="18">
        <f t="shared" ref="D20:R20" si="1">C20-D21</f>
        <v>863.82</v>
      </c>
      <c r="E20" s="18">
        <f t="shared" si="1"/>
        <v>581.67000000000007</v>
      </c>
      <c r="F20" s="18">
        <f t="shared" si="1"/>
        <v>299.5200000000001</v>
      </c>
      <c r="G20" s="18">
        <f t="shared" si="1"/>
        <v>17.370000000000118</v>
      </c>
      <c r="H20" s="18">
        <f t="shared" si="1"/>
        <v>0</v>
      </c>
      <c r="I20" s="18">
        <f t="shared" si="1"/>
        <v>0</v>
      </c>
      <c r="J20" s="18">
        <f t="shared" si="1"/>
        <v>0</v>
      </c>
      <c r="K20" s="18">
        <f t="shared" si="1"/>
        <v>0</v>
      </c>
      <c r="L20" s="18">
        <f t="shared" si="1"/>
        <v>0</v>
      </c>
      <c r="M20" s="18">
        <f t="shared" si="1"/>
        <v>0</v>
      </c>
      <c r="N20" s="18">
        <f t="shared" si="1"/>
        <v>0</v>
      </c>
      <c r="O20" s="18">
        <f t="shared" si="1"/>
        <v>0</v>
      </c>
      <c r="P20" s="18">
        <f t="shared" si="1"/>
        <v>0</v>
      </c>
      <c r="Q20" s="18">
        <f t="shared" si="1"/>
        <v>0</v>
      </c>
      <c r="R20" s="18">
        <f t="shared" si="1"/>
        <v>0</v>
      </c>
    </row>
    <row r="21" spans="1:18" x14ac:dyDescent="0.25">
      <c r="A21" s="10" t="s">
        <v>489</v>
      </c>
      <c r="C21" s="18">
        <v>0</v>
      </c>
      <c r="D21" s="18">
        <f t="shared" ref="D21:R21" si="2">MIN(C20,D19)</f>
        <v>282.14999999999998</v>
      </c>
      <c r="E21" s="18">
        <f t="shared" si="2"/>
        <v>282.14999999999998</v>
      </c>
      <c r="F21" s="18">
        <f t="shared" si="2"/>
        <v>282.14999999999998</v>
      </c>
      <c r="G21" s="18">
        <f t="shared" si="2"/>
        <v>282.14999999999998</v>
      </c>
      <c r="H21" s="18">
        <f t="shared" si="2"/>
        <v>17.370000000000118</v>
      </c>
      <c r="I21" s="18">
        <f t="shared" si="2"/>
        <v>0</v>
      </c>
      <c r="J21" s="18">
        <f t="shared" si="2"/>
        <v>0</v>
      </c>
      <c r="K21" s="18">
        <f t="shared" si="2"/>
        <v>0</v>
      </c>
      <c r="L21" s="18">
        <f t="shared" si="2"/>
        <v>0</v>
      </c>
      <c r="M21" s="18">
        <f t="shared" si="2"/>
        <v>0</v>
      </c>
      <c r="N21" s="18">
        <f t="shared" si="2"/>
        <v>0</v>
      </c>
      <c r="O21" s="18">
        <f t="shared" si="2"/>
        <v>0</v>
      </c>
      <c r="P21" s="18">
        <f t="shared" si="2"/>
        <v>0</v>
      </c>
      <c r="Q21" s="18">
        <f t="shared" si="2"/>
        <v>0</v>
      </c>
      <c r="R21" s="18">
        <f t="shared" si="2"/>
        <v>0</v>
      </c>
    </row>
    <row r="22" spans="1:18" x14ac:dyDescent="0.25">
      <c r="A22" s="10" t="s">
        <v>490</v>
      </c>
      <c r="C22" s="18">
        <f>-Assumptions!$C$39</f>
        <v>-2209.5500000000002</v>
      </c>
      <c r="D22" s="18">
        <f>D17-'Debt Schedule'!D11-'Degradation-Augmentation'!D18+D21</f>
        <v>1026.7796749999998</v>
      </c>
      <c r="E22" s="18">
        <f>E17-'Debt Schedule'!E11-'Degradation-Augmentation'!E18+E21+(Assumptions!$C$34/3-'Debt Schedule'!E9)</f>
        <v>547.67967499999975</v>
      </c>
      <c r="F22" s="18">
        <f>F17-'Debt Schedule'!F11-'Degradation-Augmentation'!F18+F21+(Assumptions!$C$34/3-'Debt Schedule'!F9)</f>
        <v>602.17055697349986</v>
      </c>
      <c r="G22" s="18">
        <f>G17-'Debt Schedule'!G11-'Degradation-Augmentation'!G18+G21+(Assumptions!$C$34/3-'Debt Schedule'!G9)</f>
        <v>628.10338569608768</v>
      </c>
      <c r="H22" s="18">
        <f>H17-'Debt Schedule'!H11-'Degradation-Augmentation'!H18+H21</f>
        <v>393.20193822986971</v>
      </c>
      <c r="I22" s="18">
        <f>I17-'Debt Schedule'!I11-'Degradation-Augmentation'!I18+I21</f>
        <v>386.02123900373954</v>
      </c>
      <c r="J22" s="18">
        <f>J17-'Debt Schedule'!J11-'Degradation-Augmentation'!J18+J21</f>
        <v>398.99680328837212</v>
      </c>
      <c r="K22" s="18">
        <f>K17-'Debt Schedule'!K11-'Degradation-Augmentation'!K18+K21</f>
        <v>72.519177999689987</v>
      </c>
      <c r="L22" s="18">
        <f>L17-'Debt Schedule'!L11-'Degradation-Augmentation'!L18+L21</f>
        <v>442.93788798559603</v>
      </c>
      <c r="M22" s="18">
        <f>M17-'Debt Schedule'!M11-'Degradation-Augmentation'!M18+M21</f>
        <v>460.064002983622</v>
      </c>
      <c r="N22" s="18">
        <f>N17-'Debt Schedule'!N11-'Degradation-Augmentation'!N18+N21</f>
        <v>478.75298598313134</v>
      </c>
      <c r="O22" s="18">
        <f>O17-'Debt Schedule'!O11-'Degradation-Augmentation'!O18+O21</f>
        <v>498.71539996330273</v>
      </c>
      <c r="P22" s="18">
        <f>P17-'Debt Schedule'!P11-'Degradation-Augmentation'!P18+P21</f>
        <v>519.70139580801867</v>
      </c>
      <c r="Q22" s="18">
        <f>Q17-'Debt Schedule'!Q11-'Degradation-Augmentation'!Q18+Q21</f>
        <v>968.01969046847887</v>
      </c>
      <c r="R22" s="18">
        <f>R17-'Debt Schedule'!R11-'Degradation-Augmentation'!R18+R21</f>
        <v>928.32123915869511</v>
      </c>
    </row>
    <row r="24" spans="1:18" x14ac:dyDescent="0.25">
      <c r="A24" s="8" t="s">
        <v>491</v>
      </c>
      <c r="C24" s="54">
        <f>MIN(D18:R18)</f>
        <v>1.2303122539856424</v>
      </c>
    </row>
    <row r="25" spans="1:18" x14ac:dyDescent="0.25">
      <c r="A25" s="8" t="s">
        <v>439</v>
      </c>
      <c r="C25" s="55">
        <f>IFERROR(IRR(C22:R22,-0.5),"n/m")</f>
        <v>0.27164707497346496</v>
      </c>
    </row>
    <row r="27" spans="1:18" ht="18" customHeight="1" x14ac:dyDescent="0.25">
      <c r="A27" s="6" t="s">
        <v>492</v>
      </c>
      <c r="B27" s="7"/>
      <c r="C27" s="7"/>
      <c r="D27" s="7"/>
    </row>
    <row r="28" spans="1:18" x14ac:dyDescent="0.25">
      <c r="A28" s="14" t="s">
        <v>360</v>
      </c>
      <c r="C28" s="43" t="s">
        <v>333</v>
      </c>
      <c r="D28" s="43">
        <v>1</v>
      </c>
      <c r="E28" s="43">
        <v>2</v>
      </c>
      <c r="F28" s="43">
        <v>3</v>
      </c>
      <c r="G28" s="43">
        <v>4</v>
      </c>
      <c r="H28" s="43">
        <v>5</v>
      </c>
      <c r="I28" s="43">
        <v>6</v>
      </c>
      <c r="J28" s="43">
        <v>7</v>
      </c>
      <c r="K28" s="43">
        <v>8</v>
      </c>
      <c r="L28" s="43">
        <v>9</v>
      </c>
      <c r="M28" s="43">
        <v>10</v>
      </c>
      <c r="N28" s="43">
        <v>11</v>
      </c>
      <c r="O28" s="43">
        <v>12</v>
      </c>
      <c r="P28" s="43">
        <v>13</v>
      </c>
      <c r="Q28" s="43">
        <v>14</v>
      </c>
      <c r="R28" s="43">
        <v>15</v>
      </c>
    </row>
    <row r="30" spans="1:18" x14ac:dyDescent="0.25">
      <c r="A30" s="10" t="s">
        <v>399</v>
      </c>
      <c r="C30" s="18">
        <v>0</v>
      </c>
      <c r="D30" s="18">
        <f>Revenue!D7+Revenue!D9+(Assumptions!$C$7*Assumptions!$C$77*(1.05-1)*Revenue!D6)</f>
        <v>1732.5</v>
      </c>
      <c r="E30" s="18">
        <f>Revenue!E7+Revenue!E9+(Assumptions!$C$7*Assumptions!$C$77*(1.05-1)*Revenue!E6)</f>
        <v>1732.5</v>
      </c>
      <c r="F30" s="18">
        <f>Revenue!F7+Revenue!F9+(Assumptions!$C$7*Assumptions!$C$77*(1.05-1)*Revenue!F6)</f>
        <v>1732.5</v>
      </c>
      <c r="G30" s="18">
        <f>Revenue!G7+Revenue!G9+(Assumptions!$C$7*Assumptions!$C$77*(1.05-1)*Revenue!G6)</f>
        <v>1732.5</v>
      </c>
      <c r="H30" s="18">
        <f>Revenue!H7+Revenue!H9+(Assumptions!$C$7*Assumptions!$C$77*(1.05-1)*Revenue!H6)</f>
        <v>1732.5</v>
      </c>
      <c r="I30" s="18">
        <f>Revenue!I7+Revenue!I9+(Assumptions!$C$7*Assumptions!$C$77*(1.05-1)*Revenue!I6)</f>
        <v>1732.5</v>
      </c>
      <c r="J30" s="18">
        <f>Revenue!J7+Revenue!J9+(Assumptions!$C$7*Assumptions!$C$77*(1.05-1)*Revenue!J6)</f>
        <v>1732.5</v>
      </c>
      <c r="K30" s="18">
        <f>Revenue!K7+Revenue!K9+(Assumptions!$C$7*Assumptions!$C$77*(1.05-1)*Revenue!K6)</f>
        <v>1732.5</v>
      </c>
      <c r="L30" s="18">
        <f>Revenue!L7+Revenue!L9+(Assumptions!$C$7*Assumptions!$C$77*(1.05-1)*Revenue!L6)</f>
        <v>1732.5</v>
      </c>
      <c r="M30" s="18">
        <f>Revenue!M7+Revenue!M9+(Assumptions!$C$7*Assumptions!$C$77*(1.05-1)*Revenue!M6)</f>
        <v>1732.5</v>
      </c>
      <c r="N30" s="18">
        <f>Revenue!N7+Revenue!N9+(Assumptions!$C$7*Assumptions!$C$77*(1.05-1)*Revenue!N6)</f>
        <v>1732.5</v>
      </c>
      <c r="O30" s="18">
        <f>Revenue!O7+Revenue!O9+(Assumptions!$C$7*Assumptions!$C$77*(1.05-1)*Revenue!O6)</f>
        <v>1732.5</v>
      </c>
      <c r="P30" s="18">
        <f>Revenue!P7+Revenue!P9+(Assumptions!$C$7*Assumptions!$C$77*(1.05-1)*Revenue!P6)</f>
        <v>1732.5</v>
      </c>
      <c r="Q30" s="18">
        <f>Revenue!Q7+Revenue!Q9+(Assumptions!$C$7*Assumptions!$C$77*(1.05-1)*Revenue!Q6)</f>
        <v>1732.5</v>
      </c>
      <c r="R30" s="18">
        <f>Revenue!R7+Revenue!R9+(Assumptions!$C$7*Assumptions!$C$77*(1.05-1)*Revenue!R6)</f>
        <v>1732.5</v>
      </c>
    </row>
    <row r="31" spans="1:18" x14ac:dyDescent="0.25">
      <c r="A31" s="10" t="s">
        <v>400</v>
      </c>
      <c r="C31" s="18">
        <f>C30-Opex!C8</f>
        <v>0</v>
      </c>
      <c r="D31" s="18">
        <f>D30-Opex!D8</f>
        <v>1589.0663</v>
      </c>
      <c r="E31" s="18">
        <f>E30-Opex!E8</f>
        <v>1583.4413</v>
      </c>
      <c r="F31" s="18">
        <f>F30-Opex!F8</f>
        <v>1577.53505</v>
      </c>
      <c r="G31" s="18">
        <f>G30-Opex!G8</f>
        <v>1571.3334875</v>
      </c>
      <c r="H31" s="18">
        <f>H30-Opex!H8</f>
        <v>1564.8218468750001</v>
      </c>
      <c r="I31" s="18">
        <f>I30-Opex!I8</f>
        <v>1557.98462421875</v>
      </c>
      <c r="J31" s="18">
        <f>J30-Opex!J8</f>
        <v>1550.8055404296874</v>
      </c>
      <c r="K31" s="18">
        <f>K30-Opex!K8</f>
        <v>1543.2675024511718</v>
      </c>
      <c r="L31" s="18">
        <f>L30-Opex!L8</f>
        <v>1535.3525625737304</v>
      </c>
      <c r="M31" s="18">
        <f>M30-Opex!M8</f>
        <v>1527.041875702417</v>
      </c>
      <c r="N31" s="18">
        <f>N30-Opex!N8</f>
        <v>1518.3156544875378</v>
      </c>
      <c r="O31" s="18">
        <f>O30-Opex!O8</f>
        <v>1509.1531222119147</v>
      </c>
      <c r="P31" s="18">
        <f>P30-Opex!P8</f>
        <v>1499.5324633225105</v>
      </c>
      <c r="Q31" s="18">
        <f>Q30-Opex!Q8</f>
        <v>1489.4307714886359</v>
      </c>
      <c r="R31" s="18">
        <f>R30-Opex!R8</f>
        <v>1478.8239950630677</v>
      </c>
    </row>
    <row r="32" spans="1:18" x14ac:dyDescent="0.25">
      <c r="A32" s="10" t="s">
        <v>481</v>
      </c>
      <c r="C32" s="18">
        <f>Depreciation!C27</f>
        <v>0</v>
      </c>
      <c r="D32" s="18">
        <f>Depreciation!D27</f>
        <v>487.17456666666664</v>
      </c>
      <c r="E32" s="18">
        <f>Depreciation!E27</f>
        <v>487.17456666666664</v>
      </c>
      <c r="F32" s="18">
        <f>Depreciation!F27</f>
        <v>487.17456666666664</v>
      </c>
      <c r="G32" s="18">
        <f>Depreciation!G27</f>
        <v>487.17456666666664</v>
      </c>
      <c r="H32" s="18">
        <f>Depreciation!H27</f>
        <v>487.17456666666664</v>
      </c>
      <c r="I32" s="18">
        <f>Depreciation!I27</f>
        <v>487.17456666666664</v>
      </c>
      <c r="J32" s="18">
        <f>Depreciation!J27</f>
        <v>487.17456666666664</v>
      </c>
      <c r="K32" s="18">
        <f>Depreciation!K27</f>
        <v>487.17456666666664</v>
      </c>
      <c r="L32" s="18">
        <f>Depreciation!L27</f>
        <v>509.67003177431167</v>
      </c>
      <c r="M32" s="18">
        <f>Depreciation!M27</f>
        <v>509.67003177431167</v>
      </c>
      <c r="N32" s="18">
        <f>Depreciation!N27</f>
        <v>509.67003177431167</v>
      </c>
      <c r="O32" s="18">
        <f>Depreciation!O27</f>
        <v>509.67003177431167</v>
      </c>
      <c r="P32" s="18">
        <f>Depreciation!P27</f>
        <v>509.67003177431167</v>
      </c>
      <c r="Q32" s="18">
        <f>Depreciation!Q27</f>
        <v>509.67003177431167</v>
      </c>
      <c r="R32" s="18">
        <f>Depreciation!R27</f>
        <v>509.67003177431167</v>
      </c>
    </row>
    <row r="33" spans="1:18" x14ac:dyDescent="0.25">
      <c r="A33" s="10" t="s">
        <v>482</v>
      </c>
      <c r="C33" s="18">
        <f>C31-C32+'P&amp;L'!C9-'Debt Schedule'!C7</f>
        <v>0</v>
      </c>
      <c r="D33" s="18">
        <f>D31-D32+'P&amp;L'!D9-'Debt Schedule'!D7</f>
        <v>482.45510833333333</v>
      </c>
      <c r="E33" s="18">
        <f>E31-E32+'P&amp;L'!E9-'Debt Schedule'!E7</f>
        <v>476.83010833333333</v>
      </c>
      <c r="F33" s="18">
        <f>F31-F32+'P&amp;L'!F9-'Debt Schedule'!F7</f>
        <v>550.20504583333343</v>
      </c>
      <c r="G33" s="18">
        <f>G31-G32+'P&amp;L'!G9-'Debt Schedule'!G7</f>
        <v>623.28467083333351</v>
      </c>
      <c r="H33" s="18">
        <f>H31-H32+'P&amp;L'!H9-'Debt Schedule'!H7</f>
        <v>696.05421770833368</v>
      </c>
      <c r="I33" s="18">
        <f>I31-I32+'P&amp;L'!I9-'Debt Schedule'!I7</f>
        <v>737.74818255208356</v>
      </c>
      <c r="J33" s="18">
        <f>J31-J32+'P&amp;L'!J9-'Debt Schedule'!J7</f>
        <v>779.10028626302096</v>
      </c>
      <c r="K33" s="18">
        <f>K31-K32+'P&amp;L'!K9-'Debt Schedule'!K7</f>
        <v>820.09343578450535</v>
      </c>
      <c r="L33" s="18">
        <f>L31-L32+'P&amp;L'!L9-'Debt Schedule'!L7</f>
        <v>838.21421829941892</v>
      </c>
      <c r="M33" s="18">
        <f>M31-M32+'P&amp;L'!M9-'Debt Schedule'!M7</f>
        <v>878.43471892810544</v>
      </c>
      <c r="N33" s="18">
        <f>N31-N32+'P&amp;L'!N9-'Debt Schedule'!N7</f>
        <v>918.23968521322627</v>
      </c>
      <c r="O33" s="18">
        <f>O31-O32+'P&amp;L'!O9-'Debt Schedule'!O7</f>
        <v>957.60834043760315</v>
      </c>
      <c r="P33" s="18">
        <f>P31-P32+'P&amp;L'!P9-'Debt Schedule'!P7</f>
        <v>996.51886904819889</v>
      </c>
      <c r="Q33" s="18">
        <f>Q31-Q32+'P&amp;L'!Q9-'Debt Schedule'!Q7</f>
        <v>1034.9483647143243</v>
      </c>
      <c r="R33" s="18">
        <f>R31-R32+'P&amp;L'!R9-'Debt Schedule'!R7</f>
        <v>1029.1539632887561</v>
      </c>
    </row>
    <row r="34" spans="1:18" x14ac:dyDescent="0.25">
      <c r="A34" s="10" t="s">
        <v>483</v>
      </c>
      <c r="C34" s="18">
        <f>Depreciation!C18</f>
        <v>0</v>
      </c>
      <c r="D34" s="18">
        <f>Depreciation!D18</f>
        <v>1087.548</v>
      </c>
      <c r="E34" s="18">
        <f>Depreciation!E18</f>
        <v>931.04444999999987</v>
      </c>
      <c r="F34" s="18">
        <f>Depreciation!F18</f>
        <v>797.35356749999994</v>
      </c>
      <c r="G34" s="18">
        <f>Depreciation!G18</f>
        <v>683.11973887499994</v>
      </c>
      <c r="H34" s="18">
        <f>Depreciation!H18</f>
        <v>585.48406389374998</v>
      </c>
      <c r="I34" s="18">
        <f>Depreciation!I18</f>
        <v>502.01051157468748</v>
      </c>
      <c r="J34" s="18">
        <f>Depreciation!J18</f>
        <v>430.6230863769843</v>
      </c>
      <c r="K34" s="18">
        <f>Depreciation!K18</f>
        <v>422.83109295477243</v>
      </c>
      <c r="L34" s="18">
        <f>Depreciation!L18</f>
        <v>362.57689175774158</v>
      </c>
      <c r="M34" s="18">
        <f>Depreciation!M18</f>
        <v>311.04377446564683</v>
      </c>
      <c r="N34" s="18">
        <f>Depreciation!N18</f>
        <v>266.95528312020969</v>
      </c>
      <c r="O34" s="18">
        <f>Depreciation!O18</f>
        <v>229.2232579941471</v>
      </c>
      <c r="P34" s="18">
        <f>Depreciation!P18</f>
        <v>196.919909902797</v>
      </c>
      <c r="Q34" s="18">
        <f>Depreciation!Q18</f>
        <v>169.25404996437223</v>
      </c>
      <c r="R34" s="18">
        <f>Depreciation!R18</f>
        <v>145.5508563620117</v>
      </c>
    </row>
    <row r="35" spans="1:18" x14ac:dyDescent="0.25">
      <c r="A35" s="10" t="s">
        <v>484</v>
      </c>
      <c r="C35" s="18">
        <f>Depreciation!C22-Depreciation!C23</f>
        <v>0</v>
      </c>
      <c r="D35" s="18">
        <f>Depreciation!D22-Depreciation!D23</f>
        <v>0</v>
      </c>
      <c r="E35" s="18">
        <f>Depreciation!E22-Depreciation!E23</f>
        <v>0</v>
      </c>
      <c r="F35" s="18">
        <f>Depreciation!F22-Depreciation!F23</f>
        <v>0</v>
      </c>
      <c r="G35" s="18">
        <f>Depreciation!G22-Depreciation!G23</f>
        <v>0</v>
      </c>
      <c r="H35" s="18">
        <f>Depreciation!H22-Depreciation!H23</f>
        <v>0</v>
      </c>
      <c r="I35" s="18">
        <f>Depreciation!I22-Depreciation!I23</f>
        <v>0</v>
      </c>
      <c r="J35" s="18">
        <f>Depreciation!J22-Depreciation!J23</f>
        <v>0</v>
      </c>
      <c r="K35" s="18">
        <f>Depreciation!K22-Depreciation!K23</f>
        <v>0</v>
      </c>
      <c r="L35" s="18">
        <f>Depreciation!L22-Depreciation!L23</f>
        <v>0</v>
      </c>
      <c r="M35" s="18">
        <f>Depreciation!M22-Depreciation!M23</f>
        <v>0</v>
      </c>
      <c r="N35" s="18">
        <f>Depreciation!N22-Depreciation!N23</f>
        <v>0</v>
      </c>
      <c r="O35" s="18">
        <f>Depreciation!O22-Depreciation!O23</f>
        <v>0</v>
      </c>
      <c r="P35" s="18">
        <f>Depreciation!P22-Depreciation!P23</f>
        <v>0</v>
      </c>
      <c r="Q35" s="18">
        <f>Depreciation!Q22-Depreciation!Q23</f>
        <v>0</v>
      </c>
      <c r="R35" s="18">
        <f>Depreciation!R22-Depreciation!R23</f>
        <v>303.32303096272119</v>
      </c>
    </row>
    <row r="36" spans="1:18" x14ac:dyDescent="0.25">
      <c r="A36" s="10" t="s">
        <v>409</v>
      </c>
      <c r="C36" s="18">
        <f>C31-C34+'P&amp;L'!C9-'Debt Schedule'!C7+C35</f>
        <v>0</v>
      </c>
      <c r="D36" s="18">
        <f>D31-D34+'P&amp;L'!D9-'Debt Schedule'!D7+D35</f>
        <v>-117.9183250000001</v>
      </c>
      <c r="E36" s="18">
        <f>E31-E34+'P&amp;L'!E9-'Debt Schedule'!E7+E35</f>
        <v>32.960225000000037</v>
      </c>
      <c r="F36" s="18">
        <f>F31-F34+'P&amp;L'!F9-'Debt Schedule'!F7+F35</f>
        <v>240.02604500000007</v>
      </c>
      <c r="G36" s="18">
        <f>G31-G34+'P&amp;L'!G9-'Debt Schedule'!G7+G35</f>
        <v>427.33949862500015</v>
      </c>
      <c r="H36" s="18">
        <f>H31-H34+'P&amp;L'!H9-'Debt Schedule'!H7+H35</f>
        <v>597.7447204812504</v>
      </c>
      <c r="I36" s="18">
        <f>I31-I34+'P&amp;L'!I9-'Debt Schedule'!I7+I35</f>
        <v>722.91223764406277</v>
      </c>
      <c r="J36" s="18">
        <f>J31-J34+'P&amp;L'!J9-'Debt Schedule'!J7+J35</f>
        <v>835.65176655270329</v>
      </c>
      <c r="K36" s="18">
        <f>K31-K34+'P&amp;L'!K9-'Debt Schedule'!K7+K35</f>
        <v>884.43690949639949</v>
      </c>
      <c r="L36" s="18">
        <f>L31-L34+'P&amp;L'!L9-'Debt Schedule'!L7+L35</f>
        <v>985.30735831598895</v>
      </c>
      <c r="M36" s="18">
        <f>M31-M34+'P&amp;L'!M9-'Debt Schedule'!M7+M35</f>
        <v>1077.0609762367703</v>
      </c>
      <c r="N36" s="18">
        <f>N31-N34+'P&amp;L'!N9-'Debt Schedule'!N7+N35</f>
        <v>1160.9544338673281</v>
      </c>
      <c r="O36" s="18">
        <f>O31-O34+'P&amp;L'!O9-'Debt Schedule'!O7+O35</f>
        <v>1238.0551142177676</v>
      </c>
      <c r="P36" s="18">
        <f>P31-P34+'P&amp;L'!P9-'Debt Schedule'!P7+P35</f>
        <v>1309.2689909197136</v>
      </c>
      <c r="Q36" s="18">
        <f>Q31-Q34+'P&amp;L'!Q9-'Debt Schedule'!Q7+Q35</f>
        <v>1375.3643465242637</v>
      </c>
      <c r="R36" s="18">
        <f>R31-R34+'P&amp;L'!R9-'Debt Schedule'!R7+R35</f>
        <v>1696.5961696637773</v>
      </c>
    </row>
    <row r="37" spans="1:18" x14ac:dyDescent="0.25">
      <c r="A37" s="10" t="s">
        <v>485</v>
      </c>
      <c r="C37" s="18">
        <f>MAX(0,C36)*Assumptions!$C$67</f>
        <v>0</v>
      </c>
      <c r="D37" s="18">
        <f>MAX(0,D36)*Assumptions!$C$67</f>
        <v>0</v>
      </c>
      <c r="E37" s="18">
        <f>MAX(0,E36)*Assumptions!$C$67</f>
        <v>8.2960886325000089</v>
      </c>
      <c r="F37" s="18">
        <f>MAX(0,F36)*Assumptions!$C$67</f>
        <v>60.41455552650001</v>
      </c>
      <c r="G37" s="18">
        <f>MAX(0,G36)*Assumptions!$C$67</f>
        <v>107.56135180391253</v>
      </c>
      <c r="H37" s="18">
        <f>MAX(0,H36)*Assumptions!$C$67</f>
        <v>150.45234614513072</v>
      </c>
      <c r="I37" s="18">
        <f>MAX(0,I36)*Assumptions!$C$67</f>
        <v>181.9570102150106</v>
      </c>
      <c r="J37" s="18">
        <f>MAX(0,J36)*Assumptions!$C$67</f>
        <v>210.33354964131541</v>
      </c>
      <c r="K37" s="18">
        <f>MAX(0,K36)*Assumptions!$C$67</f>
        <v>222.61277012024374</v>
      </c>
      <c r="L37" s="18">
        <f>MAX(0,L36)*Assumptions!$C$67</f>
        <v>248.0018620881344</v>
      </c>
      <c r="M37" s="18">
        <f>MAX(0,M36)*Assumptions!$C$67</f>
        <v>271.0962477187951</v>
      </c>
      <c r="N37" s="18">
        <f>MAX(0,N36)*Assumptions!$C$67</f>
        <v>292.21223100440648</v>
      </c>
      <c r="O37" s="18">
        <f>MAX(0,O36)*Assumptions!$C$67</f>
        <v>311.61847224861208</v>
      </c>
      <c r="P37" s="18">
        <f>MAX(0,P36)*Assumptions!$C$67</f>
        <v>329.54300501449188</v>
      </c>
      <c r="Q37" s="18">
        <f>MAX(0,Q36)*Assumptions!$C$67</f>
        <v>346.17920602015715</v>
      </c>
      <c r="R37" s="18">
        <f>MAX(0,R36)*Assumptions!$C$67</f>
        <v>427.03325590437271</v>
      </c>
    </row>
    <row r="38" spans="1:18" x14ac:dyDescent="0.25">
      <c r="A38" s="10" t="s">
        <v>486</v>
      </c>
      <c r="C38" s="18">
        <f t="shared" ref="C38:R38" si="3">C33-C37</f>
        <v>0</v>
      </c>
      <c r="D38" s="18">
        <f t="shared" si="3"/>
        <v>482.45510833333333</v>
      </c>
      <c r="E38" s="18">
        <f t="shared" si="3"/>
        <v>468.53401970083331</v>
      </c>
      <c r="F38" s="18">
        <f t="shared" si="3"/>
        <v>489.79049030683342</v>
      </c>
      <c r="G38" s="18">
        <f t="shared" si="3"/>
        <v>515.72331902942096</v>
      </c>
      <c r="H38" s="18">
        <f t="shared" si="3"/>
        <v>545.60187156320296</v>
      </c>
      <c r="I38" s="18">
        <f t="shared" si="3"/>
        <v>555.79117233707302</v>
      </c>
      <c r="J38" s="18">
        <f t="shared" si="3"/>
        <v>568.7667366217056</v>
      </c>
      <c r="K38" s="18">
        <f t="shared" si="3"/>
        <v>597.48066566426155</v>
      </c>
      <c r="L38" s="18">
        <f t="shared" si="3"/>
        <v>590.21235621128449</v>
      </c>
      <c r="M38" s="18">
        <f t="shared" si="3"/>
        <v>607.33847120931034</v>
      </c>
      <c r="N38" s="18">
        <f t="shared" si="3"/>
        <v>626.02745420881979</v>
      </c>
      <c r="O38" s="18">
        <f t="shared" si="3"/>
        <v>645.98986818899107</v>
      </c>
      <c r="P38" s="18">
        <f t="shared" si="3"/>
        <v>666.97586403370701</v>
      </c>
      <c r="Q38" s="18">
        <f t="shared" si="3"/>
        <v>688.76915869416712</v>
      </c>
      <c r="R38" s="18">
        <f t="shared" si="3"/>
        <v>602.12070738438342</v>
      </c>
    </row>
    <row r="39" spans="1:18" x14ac:dyDescent="0.25">
      <c r="A39" s="10" t="s">
        <v>487</v>
      </c>
      <c r="C39" s="18">
        <f>C38+C32+'Debt Schedule'!C7-'P&amp;L'!C9</f>
        <v>0</v>
      </c>
      <c r="D39" s="18">
        <f>D38+D32+'Debt Schedule'!D7-'P&amp;L'!D9</f>
        <v>1589.0663</v>
      </c>
      <c r="E39" s="18">
        <f>E38+E32+'Debt Schedule'!E7-'P&amp;L'!E9</f>
        <v>1575.1452113675</v>
      </c>
      <c r="F39" s="18">
        <f>F38+F32+'Debt Schedule'!F7-'P&amp;L'!F9</f>
        <v>1517.1204944735</v>
      </c>
      <c r="G39" s="18">
        <f>G38+G32+'Debt Schedule'!G7-'P&amp;L'!G9</f>
        <v>1463.7721356960874</v>
      </c>
      <c r="H39" s="18">
        <f>H38+H32+'Debt Schedule'!H7-'P&amp;L'!H9</f>
        <v>1414.3695007298695</v>
      </c>
      <c r="I39" s="18">
        <f>I38+I32+'Debt Schedule'!I7-'P&amp;L'!I9</f>
        <v>1376.0276140037395</v>
      </c>
      <c r="J39" s="18">
        <f>J38+J32+'Debt Schedule'!J7-'P&amp;L'!J9</f>
        <v>1340.4719907883721</v>
      </c>
      <c r="K39" s="18">
        <f>K38+K32+'Debt Schedule'!K7-'P&amp;L'!K9</f>
        <v>1320.654732330928</v>
      </c>
      <c r="L39" s="18">
        <f>L38+L32+'Debt Schedule'!L7-'P&amp;L'!L9</f>
        <v>1287.350700485596</v>
      </c>
      <c r="M39" s="18">
        <f>M38+M32+'Debt Schedule'!M7-'P&amp;L'!M9</f>
        <v>1255.945627983622</v>
      </c>
      <c r="N39" s="18">
        <f>N38+N32+'Debt Schedule'!N7-'P&amp;L'!N9</f>
        <v>1226.1034234831313</v>
      </c>
      <c r="O39" s="18">
        <f>O38+O32+'Debt Schedule'!O7-'P&amp;L'!O9</f>
        <v>1197.5346499633026</v>
      </c>
      <c r="P39" s="18">
        <f>P38+P32+'Debt Schedule'!P7-'P&amp;L'!P9</f>
        <v>1169.9894583080186</v>
      </c>
      <c r="Q39" s="18">
        <f>Q38+Q32+'Debt Schedule'!Q7-'P&amp;L'!Q9</f>
        <v>1143.2515654684787</v>
      </c>
      <c r="R39" s="18">
        <f>R38+R32+'Debt Schedule'!R7-'P&amp;L'!R9</f>
        <v>1051.790739158695</v>
      </c>
    </row>
    <row r="40" spans="1:18" x14ac:dyDescent="0.25">
      <c r="A40" s="10" t="s">
        <v>423</v>
      </c>
      <c r="C40" s="58" t="str">
        <f>"n/a"</f>
        <v>n/a</v>
      </c>
      <c r="D40" s="15">
        <f>IF('Debt Schedule'!D11=0,"n/a",D39/'Debt Schedule'!D11)</f>
        <v>2.3387998843895113</v>
      </c>
      <c r="E40" s="15">
        <f>IF('Debt Schedule'!E11=0,"n/a",E39/'Debt Schedule'!E11)</f>
        <v>1.3662323956248597</v>
      </c>
      <c r="F40" s="15">
        <f>IF('Debt Schedule'!F11=0,"n/a",F39/'Debt Schedule'!F11)</f>
        <v>1.4130751527557173</v>
      </c>
      <c r="G40" s="15">
        <f>IF('Debt Schedule'!G11=0,"n/a",G39/'Debt Schedule'!G11)</f>
        <v>1.4720905513792939</v>
      </c>
      <c r="H40" s="15">
        <f>IF('Debt Schedule'!H11=0,"n/a",H39/'Debt Schedule'!H11)</f>
        <v>1.5456440440788191</v>
      </c>
      <c r="I40" s="15">
        <f>IF('Debt Schedule'!I11=0,"n/a",I39/'Debt Schedule'!I11)</f>
        <v>1.5879619825800713</v>
      </c>
      <c r="J40" s="15">
        <f>IF('Debt Schedule'!J11=0,"n/a",J39/'Debt Schedule'!J11)</f>
        <v>1.6387074213201873</v>
      </c>
      <c r="K40" s="15">
        <f>IF('Debt Schedule'!K11=0,"n/a",K39/'Debt Schedule'!K11)</f>
        <v>1.7163073400495117</v>
      </c>
      <c r="L40" s="15">
        <f>IF('Debt Schedule'!L11=0,"n/a",L39/'Debt Schedule'!L11)</f>
        <v>1.7856476066356408</v>
      </c>
      <c r="M40" s="15">
        <f>IF('Debt Schedule'!M11=0,"n/a",M39/'Debt Schedule'!M11)</f>
        <v>1.8678212085833845</v>
      </c>
      <c r="N40" s="15">
        <f>IF('Debt Schedule'!N11=0,"n/a",N39/'Debt Schedule'!N11)</f>
        <v>1.9652843191464415</v>
      </c>
      <c r="O40" s="15">
        <f>IF('Debt Schedule'!O11=0,"n/a",O39/'Debt Schedule'!O11)</f>
        <v>2.0814029205075744</v>
      </c>
      <c r="P40" s="15">
        <f>IF('Debt Schedule'!P11=0,"n/a",P39/'Debt Schedule'!P11)</f>
        <v>2.2208584541058549</v>
      </c>
      <c r="Q40" s="15">
        <f>IF('Debt Schedule'!Q11=0,"n/a",Q39/'Debt Schedule'!Q11)</f>
        <v>22.086536127225237</v>
      </c>
      <c r="R40" s="15" t="str">
        <f>IF('Debt Schedule'!R11=0,"n/a",R39/'Debt Schedule'!R11)</f>
        <v>n/a</v>
      </c>
    </row>
    <row r="41" spans="1:18" x14ac:dyDescent="0.25">
      <c r="A41" s="10" t="s">
        <v>488</v>
      </c>
      <c r="C41" s="18">
        <f>C30*Assumptions!$C$18</f>
        <v>0</v>
      </c>
      <c r="D41" s="18">
        <f>D30*Assumptions!$C$18</f>
        <v>311.84999999999997</v>
      </c>
      <c r="E41" s="18">
        <f>E30*Assumptions!$C$18</f>
        <v>311.84999999999997</v>
      </c>
      <c r="F41" s="18">
        <f>F30*Assumptions!$C$18</f>
        <v>311.84999999999997</v>
      </c>
      <c r="G41" s="18">
        <f>G30*Assumptions!$C$18</f>
        <v>311.84999999999997</v>
      </c>
      <c r="H41" s="18">
        <f>H30*Assumptions!$C$18</f>
        <v>311.84999999999997</v>
      </c>
      <c r="I41" s="18">
        <f>I30*Assumptions!$C$18</f>
        <v>311.84999999999997</v>
      </c>
      <c r="J41" s="18">
        <f>J30*Assumptions!$C$18</f>
        <v>311.84999999999997</v>
      </c>
      <c r="K41" s="18">
        <f>K30*Assumptions!$C$18</f>
        <v>311.84999999999997</v>
      </c>
      <c r="L41" s="18">
        <f>L30*Assumptions!$C$18</f>
        <v>311.84999999999997</v>
      </c>
      <c r="M41" s="18">
        <f>M30*Assumptions!$C$18</f>
        <v>311.84999999999997</v>
      </c>
      <c r="N41" s="18">
        <f>N30*Assumptions!$C$18</f>
        <v>311.84999999999997</v>
      </c>
      <c r="O41" s="18">
        <f>O30*Assumptions!$C$18</f>
        <v>311.84999999999997</v>
      </c>
      <c r="P41" s="18">
        <f>P30*Assumptions!$C$18</f>
        <v>311.84999999999997</v>
      </c>
      <c r="Q41" s="18">
        <f>Q30*Assumptions!$C$18</f>
        <v>311.84999999999997</v>
      </c>
      <c r="R41" s="18">
        <f>R30*Assumptions!$C$18</f>
        <v>311.84999999999997</v>
      </c>
    </row>
    <row r="42" spans="1:18" x14ac:dyDescent="0.25">
      <c r="A42" s="10" t="s">
        <v>425</v>
      </c>
      <c r="C42" s="18">
        <f>Assumptions!$C$29</f>
        <v>1145.97</v>
      </c>
      <c r="D42" s="18">
        <f t="shared" ref="D42:R42" si="4">C42-D43</f>
        <v>834.12000000000012</v>
      </c>
      <c r="E42" s="18">
        <f t="shared" si="4"/>
        <v>522.27000000000021</v>
      </c>
      <c r="F42" s="18">
        <f t="shared" si="4"/>
        <v>210.42000000000024</v>
      </c>
      <c r="G42" s="18">
        <f t="shared" si="4"/>
        <v>0</v>
      </c>
      <c r="H42" s="18">
        <f t="shared" si="4"/>
        <v>0</v>
      </c>
      <c r="I42" s="18">
        <f t="shared" si="4"/>
        <v>0</v>
      </c>
      <c r="J42" s="18">
        <f t="shared" si="4"/>
        <v>0</v>
      </c>
      <c r="K42" s="18">
        <f t="shared" si="4"/>
        <v>0</v>
      </c>
      <c r="L42" s="18">
        <f t="shared" si="4"/>
        <v>0</v>
      </c>
      <c r="M42" s="18">
        <f t="shared" si="4"/>
        <v>0</v>
      </c>
      <c r="N42" s="18">
        <f t="shared" si="4"/>
        <v>0</v>
      </c>
      <c r="O42" s="18">
        <f t="shared" si="4"/>
        <v>0</v>
      </c>
      <c r="P42" s="18">
        <f t="shared" si="4"/>
        <v>0</v>
      </c>
      <c r="Q42" s="18">
        <f t="shared" si="4"/>
        <v>0</v>
      </c>
      <c r="R42" s="18">
        <f t="shared" si="4"/>
        <v>0</v>
      </c>
    </row>
    <row r="43" spans="1:18" x14ac:dyDescent="0.25">
      <c r="A43" s="10" t="s">
        <v>489</v>
      </c>
      <c r="C43" s="18">
        <v>0</v>
      </c>
      <c r="D43" s="18">
        <f t="shared" ref="D43:R43" si="5">MIN(C42,D41)</f>
        <v>311.84999999999997</v>
      </c>
      <c r="E43" s="18">
        <f t="shared" si="5"/>
        <v>311.84999999999997</v>
      </c>
      <c r="F43" s="18">
        <f t="shared" si="5"/>
        <v>311.84999999999997</v>
      </c>
      <c r="G43" s="18">
        <f t="shared" si="5"/>
        <v>210.42000000000024</v>
      </c>
      <c r="H43" s="18">
        <f t="shared" si="5"/>
        <v>0</v>
      </c>
      <c r="I43" s="18">
        <f t="shared" si="5"/>
        <v>0</v>
      </c>
      <c r="J43" s="18">
        <f t="shared" si="5"/>
        <v>0</v>
      </c>
      <c r="K43" s="18">
        <f t="shared" si="5"/>
        <v>0</v>
      </c>
      <c r="L43" s="18">
        <f t="shared" si="5"/>
        <v>0</v>
      </c>
      <c r="M43" s="18">
        <f t="shared" si="5"/>
        <v>0</v>
      </c>
      <c r="N43" s="18">
        <f t="shared" si="5"/>
        <v>0</v>
      </c>
      <c r="O43" s="18">
        <f t="shared" si="5"/>
        <v>0</v>
      </c>
      <c r="P43" s="18">
        <f t="shared" si="5"/>
        <v>0</v>
      </c>
      <c r="Q43" s="18">
        <f t="shared" si="5"/>
        <v>0</v>
      </c>
      <c r="R43" s="18">
        <f t="shared" si="5"/>
        <v>0</v>
      </c>
    </row>
    <row r="44" spans="1:18" x14ac:dyDescent="0.25">
      <c r="A44" s="10" t="s">
        <v>490</v>
      </c>
      <c r="C44" s="18">
        <f>-Assumptions!$C$39</f>
        <v>-2209.5500000000002</v>
      </c>
      <c r="D44" s="18">
        <f>D39-'Debt Schedule'!D11-'Degradation-Augmentation'!D18+D43</f>
        <v>1221.4796749999998</v>
      </c>
      <c r="E44" s="18">
        <f>E39-'Debt Schedule'!E11-'Degradation-Augmentation'!E18+E43+(Assumptions!$C$34/3-'Debt Schedule'!E9)</f>
        <v>734.08358636749972</v>
      </c>
      <c r="F44" s="18">
        <f>F39-'Debt Schedule'!F11-'Degradation-Augmentation'!F18+F43+(Assumptions!$C$34/3-'Debt Schedule'!F9)</f>
        <v>755.34005697349994</v>
      </c>
      <c r="G44" s="18">
        <f>G39-'Debt Schedule'!G11-'Degradation-Augmentation'!G18+G43+(Assumptions!$C$34/3-'Debt Schedule'!G9)</f>
        <v>679.84288569608771</v>
      </c>
      <c r="H44" s="18">
        <f>H39-'Debt Schedule'!H11-'Degradation-Augmentation'!H18+H43</f>
        <v>499.30143822986952</v>
      </c>
      <c r="I44" s="18">
        <f>I39-'Debt Schedule'!I11-'Degradation-Augmentation'!I18+I43</f>
        <v>509.49073900373946</v>
      </c>
      <c r="J44" s="18">
        <f>J39-'Debt Schedule'!J11-'Degradation-Augmentation'!J18+J43</f>
        <v>522.46630328837205</v>
      </c>
      <c r="K44" s="18">
        <f>K39-'Debt Schedule'!K11-'Degradation-Augmentation'!K18+K43</f>
        <v>195.98867799968991</v>
      </c>
      <c r="L44" s="18">
        <f>L39-'Debt Schedule'!L11-'Degradation-Augmentation'!L18+L43</f>
        <v>566.40738798559596</v>
      </c>
      <c r="M44" s="18">
        <f>M39-'Debt Schedule'!M11-'Degradation-Augmentation'!M18+M43</f>
        <v>583.53350298362193</v>
      </c>
      <c r="N44" s="18">
        <f>N39-'Debt Schedule'!N11-'Degradation-Augmentation'!N18+N43</f>
        <v>602.22248598313126</v>
      </c>
      <c r="O44" s="18">
        <f>O39-'Debt Schedule'!O11-'Degradation-Augmentation'!O18+O43</f>
        <v>622.18489996330266</v>
      </c>
      <c r="P44" s="18">
        <f>P39-'Debt Schedule'!P11-'Degradation-Augmentation'!P18+P43</f>
        <v>643.1708958080186</v>
      </c>
      <c r="Q44" s="18">
        <f>Q39-'Debt Schedule'!Q11-'Degradation-Augmentation'!Q18+Q43</f>
        <v>1091.4891904684787</v>
      </c>
      <c r="R44" s="18">
        <f>R39-'Debt Schedule'!R11-'Degradation-Augmentation'!R18+R43</f>
        <v>1051.790739158695</v>
      </c>
    </row>
    <row r="46" spans="1:18" x14ac:dyDescent="0.25">
      <c r="A46" s="8" t="s">
        <v>491</v>
      </c>
      <c r="C46" s="54">
        <f>MIN(D40:R40)</f>
        <v>1.3662323956248597</v>
      </c>
    </row>
    <row r="47" spans="1:18" x14ac:dyDescent="0.25">
      <c r="A47" s="8" t="s">
        <v>439</v>
      </c>
      <c r="C47" s="55">
        <f>IFERROR(IRR(C44:R44,-0.5),"n/m")</f>
        <v>0.35694352388355965</v>
      </c>
    </row>
  </sheetData>
  <mergeCells count="1">
    <mergeCell ref="A1:R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08080"/>
  </sheetPr>
  <dimension ref="A1:D55"/>
  <sheetViews>
    <sheetView showGridLines="0" topLeftCell="A28" zoomScaleNormal="100" workbookViewId="0">
      <selection activeCell="A10" sqref="A10:G26"/>
    </sheetView>
  </sheetViews>
  <sheetFormatPr defaultColWidth="8.7109375" defaultRowHeight="15" x14ac:dyDescent="0.25"/>
  <cols>
    <col min="1" max="1" width="100" customWidth="1"/>
  </cols>
  <sheetData>
    <row r="1" spans="1:4" ht="24" customHeight="1" x14ac:dyDescent="0.25">
      <c r="A1" s="66" t="s">
        <v>494</v>
      </c>
      <c r="B1" s="66"/>
      <c r="C1" s="66"/>
      <c r="D1" s="66"/>
    </row>
    <row r="2" spans="1:4" x14ac:dyDescent="0.25">
      <c r="A2" s="3" t="s">
        <v>21</v>
      </c>
    </row>
    <row r="4" spans="1:4" x14ac:dyDescent="0.25">
      <c r="A4" s="4"/>
    </row>
    <row r="5" spans="1:4" x14ac:dyDescent="0.25">
      <c r="A5" s="5" t="s">
        <v>22</v>
      </c>
    </row>
    <row r="6" spans="1:4" x14ac:dyDescent="0.25">
      <c r="A6" s="4" t="s">
        <v>23</v>
      </c>
    </row>
    <row r="7" spans="1:4" x14ac:dyDescent="0.25">
      <c r="A7" s="4" t="s">
        <v>24</v>
      </c>
    </row>
    <row r="8" spans="1:4" x14ac:dyDescent="0.25">
      <c r="A8" s="4" t="s">
        <v>25</v>
      </c>
    </row>
    <row r="9" spans="1:4" x14ac:dyDescent="0.25">
      <c r="A9" s="4" t="s">
        <v>26</v>
      </c>
    </row>
    <row r="10" spans="1:4" x14ac:dyDescent="0.25">
      <c r="A10" s="4"/>
    </row>
    <row r="11" spans="1:4" x14ac:dyDescent="0.25">
      <c r="A11" s="5" t="s">
        <v>27</v>
      </c>
    </row>
    <row r="12" spans="1:4" x14ac:dyDescent="0.25">
      <c r="A12" s="4" t="s">
        <v>28</v>
      </c>
    </row>
    <row r="13" spans="1:4" x14ac:dyDescent="0.25">
      <c r="A13" s="4" t="s">
        <v>29</v>
      </c>
    </row>
    <row r="14" spans="1:4" x14ac:dyDescent="0.25">
      <c r="A14" s="4" t="s">
        <v>30</v>
      </c>
    </row>
    <row r="15" spans="1:4" x14ac:dyDescent="0.25">
      <c r="A15" s="4" t="s">
        <v>31</v>
      </c>
    </row>
    <row r="16" spans="1:4" x14ac:dyDescent="0.25">
      <c r="A16" s="4" t="s">
        <v>32</v>
      </c>
    </row>
    <row r="17" spans="1:1" x14ac:dyDescent="0.25">
      <c r="A17" s="4" t="s">
        <v>33</v>
      </c>
    </row>
    <row r="18" spans="1:1" x14ac:dyDescent="0.25">
      <c r="A18" s="4" t="s">
        <v>34</v>
      </c>
    </row>
    <row r="19" spans="1:1" x14ac:dyDescent="0.25">
      <c r="A19" s="4" t="s">
        <v>35</v>
      </c>
    </row>
    <row r="20" spans="1:1" x14ac:dyDescent="0.25">
      <c r="A20" s="4"/>
    </row>
    <row r="21" spans="1:1" x14ac:dyDescent="0.25">
      <c r="A21" s="5" t="s">
        <v>36</v>
      </c>
    </row>
    <row r="22" spans="1:1" x14ac:dyDescent="0.25">
      <c r="A22" s="4" t="s">
        <v>37</v>
      </c>
    </row>
    <row r="23" spans="1:1" x14ac:dyDescent="0.25">
      <c r="A23" s="4" t="s">
        <v>38</v>
      </c>
    </row>
    <row r="24" spans="1:1" x14ac:dyDescent="0.25">
      <c r="A24" s="4" t="s">
        <v>39</v>
      </c>
    </row>
    <row r="25" spans="1:1" x14ac:dyDescent="0.25">
      <c r="A25" s="4" t="s">
        <v>40</v>
      </c>
    </row>
    <row r="26" spans="1:1" x14ac:dyDescent="0.25">
      <c r="A26" s="4"/>
    </row>
    <row r="27" spans="1:1" x14ac:dyDescent="0.25">
      <c r="A27" s="5" t="s">
        <v>41</v>
      </c>
    </row>
    <row r="28" spans="1:1" x14ac:dyDescent="0.25">
      <c r="A28" s="4" t="s">
        <v>42</v>
      </c>
    </row>
    <row r="29" spans="1:1" x14ac:dyDescent="0.25">
      <c r="A29" s="4" t="s">
        <v>43</v>
      </c>
    </row>
    <row r="30" spans="1:1" x14ac:dyDescent="0.25">
      <c r="A30" s="4" t="s">
        <v>44</v>
      </c>
    </row>
    <row r="31" spans="1:1" x14ac:dyDescent="0.25">
      <c r="A31" s="4" t="s">
        <v>45</v>
      </c>
    </row>
    <row r="32" spans="1:1" x14ac:dyDescent="0.25">
      <c r="A32" s="4" t="s">
        <v>46</v>
      </c>
    </row>
    <row r="33" spans="1:1" x14ac:dyDescent="0.25">
      <c r="A33" s="4" t="s">
        <v>47</v>
      </c>
    </row>
    <row r="34" spans="1:1" x14ac:dyDescent="0.25">
      <c r="A34" s="4" t="s">
        <v>48</v>
      </c>
    </row>
    <row r="35" spans="1:1" x14ac:dyDescent="0.25">
      <c r="A35" s="4" t="s">
        <v>49</v>
      </c>
    </row>
    <row r="36" spans="1:1" x14ac:dyDescent="0.25">
      <c r="A36" s="4" t="s">
        <v>50</v>
      </c>
    </row>
    <row r="37" spans="1:1" x14ac:dyDescent="0.25">
      <c r="A37" s="4" t="s">
        <v>51</v>
      </c>
    </row>
    <row r="38" spans="1:1" x14ac:dyDescent="0.25">
      <c r="A38" s="4" t="s">
        <v>52</v>
      </c>
    </row>
    <row r="39" spans="1:1" x14ac:dyDescent="0.25">
      <c r="A39" s="4" t="s">
        <v>53</v>
      </c>
    </row>
    <row r="40" spans="1:1" x14ac:dyDescent="0.25">
      <c r="A40" s="4" t="s">
        <v>54</v>
      </c>
    </row>
    <row r="41" spans="1:1" x14ac:dyDescent="0.25">
      <c r="A41" s="4"/>
    </row>
    <row r="42" spans="1:1" x14ac:dyDescent="0.25">
      <c r="A42" s="5" t="s">
        <v>55</v>
      </c>
    </row>
    <row r="43" spans="1:1" x14ac:dyDescent="0.25">
      <c r="A43" s="4" t="s">
        <v>56</v>
      </c>
    </row>
    <row r="44" spans="1:1" x14ac:dyDescent="0.25">
      <c r="A44" s="4" t="s">
        <v>57</v>
      </c>
    </row>
    <row r="45" spans="1:1" x14ac:dyDescent="0.25">
      <c r="A45" s="4" t="s">
        <v>58</v>
      </c>
    </row>
    <row r="46" spans="1:1" x14ac:dyDescent="0.25">
      <c r="A46" s="4" t="s">
        <v>59</v>
      </c>
    </row>
    <row r="47" spans="1:1" x14ac:dyDescent="0.25">
      <c r="A47" s="4" t="s">
        <v>60</v>
      </c>
    </row>
    <row r="48" spans="1:1" x14ac:dyDescent="0.25">
      <c r="A48" s="4" t="s">
        <v>61</v>
      </c>
    </row>
    <row r="49" spans="1:1" x14ac:dyDescent="0.25">
      <c r="A49" s="4" t="s">
        <v>62</v>
      </c>
    </row>
    <row r="50" spans="1:1" x14ac:dyDescent="0.25">
      <c r="A50" s="4"/>
    </row>
    <row r="51" spans="1:1" x14ac:dyDescent="0.25">
      <c r="A51" s="5" t="s">
        <v>63</v>
      </c>
    </row>
    <row r="52" spans="1:1" x14ac:dyDescent="0.25">
      <c r="A52" s="4" t="s">
        <v>64</v>
      </c>
    </row>
    <row r="53" spans="1:1" x14ac:dyDescent="0.25">
      <c r="A53" s="4" t="s">
        <v>65</v>
      </c>
    </row>
    <row r="54" spans="1:1" x14ac:dyDescent="0.25">
      <c r="A54" s="4" t="s">
        <v>66</v>
      </c>
    </row>
    <row r="55" spans="1:1" x14ac:dyDescent="0.25">
      <c r="A55" s="4" t="s">
        <v>67</v>
      </c>
    </row>
  </sheetData>
  <mergeCells count="1">
    <mergeCell ref="A1:D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08080"/>
  </sheetPr>
  <dimension ref="A1:B58"/>
  <sheetViews>
    <sheetView showGridLines="0" zoomScaleNormal="100" workbookViewId="0">
      <selection activeCell="A2" sqref="A2"/>
    </sheetView>
  </sheetViews>
  <sheetFormatPr defaultColWidth="8.7109375" defaultRowHeight="15" x14ac:dyDescent="0.25"/>
  <cols>
    <col min="1" max="1" width="34" customWidth="1"/>
    <col min="2" max="2" width="95" customWidth="1"/>
  </cols>
  <sheetData>
    <row r="1" spans="1:2" ht="19.5" x14ac:dyDescent="0.3">
      <c r="A1" s="67" t="s">
        <v>495</v>
      </c>
      <c r="B1" s="67"/>
    </row>
    <row r="2" spans="1:2" x14ac:dyDescent="0.25">
      <c r="A2" s="1" t="s">
        <v>68</v>
      </c>
    </row>
    <row r="4" spans="1:2" x14ac:dyDescent="0.25">
      <c r="A4" s="6" t="s">
        <v>69</v>
      </c>
      <c r="B4" s="7"/>
    </row>
    <row r="5" spans="1:2" x14ac:dyDescent="0.25">
      <c r="A5" s="8" t="s">
        <v>70</v>
      </c>
      <c r="B5" s="9" t="s">
        <v>71</v>
      </c>
    </row>
    <row r="6" spans="1:2" x14ac:dyDescent="0.25">
      <c r="A6" s="8" t="s">
        <v>72</v>
      </c>
      <c r="B6" s="9" t="s">
        <v>73</v>
      </c>
    </row>
    <row r="7" spans="1:2" x14ac:dyDescent="0.25">
      <c r="A7" s="8" t="s">
        <v>14</v>
      </c>
      <c r="B7" s="9" t="s">
        <v>74</v>
      </c>
    </row>
    <row r="8" spans="1:2" ht="25.5" x14ac:dyDescent="0.25">
      <c r="A8" s="8" t="s">
        <v>75</v>
      </c>
      <c r="B8" s="9" t="s">
        <v>76</v>
      </c>
    </row>
    <row r="9" spans="1:2" ht="25.5" x14ac:dyDescent="0.25">
      <c r="A9" s="8" t="s">
        <v>77</v>
      </c>
      <c r="B9" s="9" t="s">
        <v>78</v>
      </c>
    </row>
    <row r="11" spans="1:2" x14ac:dyDescent="0.25">
      <c r="A11" s="6" t="s">
        <v>79</v>
      </c>
      <c r="B11" s="7"/>
    </row>
    <row r="12" spans="1:2" ht="25.5" x14ac:dyDescent="0.25">
      <c r="A12" s="8" t="s">
        <v>80</v>
      </c>
      <c r="B12" s="9" t="s">
        <v>81</v>
      </c>
    </row>
    <row r="13" spans="1:2" x14ac:dyDescent="0.25">
      <c r="A13" s="8" t="s">
        <v>82</v>
      </c>
      <c r="B13" s="9" t="s">
        <v>83</v>
      </c>
    </row>
    <row r="14" spans="1:2" ht="38.25" x14ac:dyDescent="0.25">
      <c r="A14" s="8" t="s">
        <v>84</v>
      </c>
      <c r="B14" s="9" t="s">
        <v>85</v>
      </c>
    </row>
    <row r="15" spans="1:2" x14ac:dyDescent="0.25">
      <c r="A15" s="8" t="s">
        <v>86</v>
      </c>
      <c r="B15" s="9" t="s">
        <v>87</v>
      </c>
    </row>
    <row r="16" spans="1:2" ht="25.5" x14ac:dyDescent="0.25">
      <c r="A16" s="8" t="s">
        <v>88</v>
      </c>
      <c r="B16" s="9" t="s">
        <v>89</v>
      </c>
    </row>
    <row r="18" spans="1:2" x14ac:dyDescent="0.25">
      <c r="A18" s="6" t="s">
        <v>90</v>
      </c>
      <c r="B18" s="7"/>
    </row>
    <row r="19" spans="1:2" ht="25.5" x14ac:dyDescent="0.25">
      <c r="A19" s="8" t="s">
        <v>91</v>
      </c>
      <c r="B19" s="9" t="s">
        <v>92</v>
      </c>
    </row>
    <row r="20" spans="1:2" x14ac:dyDescent="0.25">
      <c r="A20" s="8" t="s">
        <v>93</v>
      </c>
      <c r="B20" s="9" t="s">
        <v>94</v>
      </c>
    </row>
    <row r="21" spans="1:2" x14ac:dyDescent="0.25">
      <c r="A21" s="8" t="s">
        <v>95</v>
      </c>
      <c r="B21" s="9" t="s">
        <v>96</v>
      </c>
    </row>
    <row r="23" spans="1:2" x14ac:dyDescent="0.25">
      <c r="A23" s="6" t="s">
        <v>97</v>
      </c>
      <c r="B23" s="7"/>
    </row>
    <row r="24" spans="1:2" ht="25.5" x14ac:dyDescent="0.25">
      <c r="A24" s="8" t="s">
        <v>98</v>
      </c>
      <c r="B24" s="9" t="s">
        <v>99</v>
      </c>
    </row>
    <row r="25" spans="1:2" x14ac:dyDescent="0.25">
      <c r="A25" s="8" t="s">
        <v>100</v>
      </c>
      <c r="B25" s="9" t="s">
        <v>101</v>
      </c>
    </row>
    <row r="26" spans="1:2" ht="25.5" x14ac:dyDescent="0.25">
      <c r="A26" s="8" t="s">
        <v>102</v>
      </c>
      <c r="B26" s="9" t="s">
        <v>103</v>
      </c>
    </row>
    <row r="27" spans="1:2" ht="25.5" x14ac:dyDescent="0.25">
      <c r="A27" s="8" t="s">
        <v>104</v>
      </c>
      <c r="B27" s="9" t="s">
        <v>105</v>
      </c>
    </row>
    <row r="29" spans="1:2" x14ac:dyDescent="0.25">
      <c r="A29" s="6" t="s">
        <v>106</v>
      </c>
      <c r="B29" s="7"/>
    </row>
    <row r="30" spans="1:2" x14ac:dyDescent="0.25">
      <c r="A30" s="8" t="s">
        <v>107</v>
      </c>
      <c r="B30" s="9" t="s">
        <v>108</v>
      </c>
    </row>
    <row r="31" spans="1:2" x14ac:dyDescent="0.25">
      <c r="A31" s="8" t="s">
        <v>109</v>
      </c>
      <c r="B31" s="9" t="s">
        <v>110</v>
      </c>
    </row>
    <row r="32" spans="1:2" x14ac:dyDescent="0.25">
      <c r="A32" s="8" t="s">
        <v>111</v>
      </c>
      <c r="B32" s="9" t="s">
        <v>112</v>
      </c>
    </row>
    <row r="33" spans="1:2" ht="25.5" x14ac:dyDescent="0.25">
      <c r="A33" s="8" t="s">
        <v>113</v>
      </c>
      <c r="B33" s="9" t="s">
        <v>114</v>
      </c>
    </row>
    <row r="35" spans="1:2" x14ac:dyDescent="0.25">
      <c r="A35" s="6" t="s">
        <v>115</v>
      </c>
      <c r="B35" s="7"/>
    </row>
    <row r="36" spans="1:2" ht="25.5" x14ac:dyDescent="0.25">
      <c r="A36" s="8" t="s">
        <v>116</v>
      </c>
      <c r="B36" s="9" t="s">
        <v>117</v>
      </c>
    </row>
    <row r="37" spans="1:2" ht="25.5" x14ac:dyDescent="0.25">
      <c r="A37" s="8" t="s">
        <v>118</v>
      </c>
      <c r="B37" s="9" t="s">
        <v>119</v>
      </c>
    </row>
    <row r="38" spans="1:2" x14ac:dyDescent="0.25">
      <c r="A38" s="8" t="s">
        <v>120</v>
      </c>
      <c r="B38" s="9" t="s">
        <v>121</v>
      </c>
    </row>
    <row r="39" spans="1:2" ht="25.5" x14ac:dyDescent="0.25">
      <c r="A39" s="8" t="s">
        <v>122</v>
      </c>
      <c r="B39" s="9" t="s">
        <v>123</v>
      </c>
    </row>
    <row r="40" spans="1:2" ht="25.5" x14ac:dyDescent="0.25">
      <c r="A40" s="8" t="s">
        <v>124</v>
      </c>
      <c r="B40" s="9" t="s">
        <v>125</v>
      </c>
    </row>
    <row r="41" spans="1:2" x14ac:dyDescent="0.25">
      <c r="A41" s="8" t="s">
        <v>126</v>
      </c>
      <c r="B41" s="9" t="s">
        <v>127</v>
      </c>
    </row>
    <row r="43" spans="1:2" x14ac:dyDescent="0.25">
      <c r="A43" s="6" t="s">
        <v>128</v>
      </c>
      <c r="B43" s="7"/>
    </row>
    <row r="44" spans="1:2" ht="25.5" x14ac:dyDescent="0.25">
      <c r="A44" s="8" t="s">
        <v>129</v>
      </c>
      <c r="B44" s="9" t="s">
        <v>130</v>
      </c>
    </row>
    <row r="45" spans="1:2" x14ac:dyDescent="0.25">
      <c r="A45" s="8" t="s">
        <v>131</v>
      </c>
      <c r="B45" s="9" t="s">
        <v>132</v>
      </c>
    </row>
    <row r="46" spans="1:2" x14ac:dyDescent="0.25">
      <c r="A46" s="8" t="s">
        <v>133</v>
      </c>
      <c r="B46" s="9" t="s">
        <v>134</v>
      </c>
    </row>
    <row r="47" spans="1:2" x14ac:dyDescent="0.25">
      <c r="A47" s="8" t="s">
        <v>135</v>
      </c>
      <c r="B47" s="9" t="s">
        <v>136</v>
      </c>
    </row>
    <row r="48" spans="1:2" ht="25.5" x14ac:dyDescent="0.25">
      <c r="A48" s="8" t="s">
        <v>137</v>
      </c>
      <c r="B48" s="9" t="s">
        <v>138</v>
      </c>
    </row>
    <row r="50" spans="1:2" x14ac:dyDescent="0.25">
      <c r="A50" s="6" t="s">
        <v>139</v>
      </c>
      <c r="B50" s="7"/>
    </row>
    <row r="51" spans="1:2" ht="25.5" x14ac:dyDescent="0.25">
      <c r="A51" s="8" t="s">
        <v>140</v>
      </c>
      <c r="B51" s="9" t="s">
        <v>141</v>
      </c>
    </row>
    <row r="52" spans="1:2" ht="25.5" x14ac:dyDescent="0.25">
      <c r="A52" s="8" t="s">
        <v>142</v>
      </c>
      <c r="B52" s="9" t="s">
        <v>143</v>
      </c>
    </row>
    <row r="53" spans="1:2" ht="25.5" x14ac:dyDescent="0.25">
      <c r="A53" s="8" t="s">
        <v>144</v>
      </c>
      <c r="B53" s="9" t="s">
        <v>145</v>
      </c>
    </row>
    <row r="55" spans="1:2" x14ac:dyDescent="0.25">
      <c r="A55" s="6" t="s">
        <v>146</v>
      </c>
      <c r="B55" s="7"/>
    </row>
    <row r="56" spans="1:2" x14ac:dyDescent="0.25">
      <c r="A56" s="8" t="s">
        <v>147</v>
      </c>
      <c r="B56" s="9" t="s">
        <v>148</v>
      </c>
    </row>
    <row r="57" spans="1:2" ht="25.5" x14ac:dyDescent="0.25">
      <c r="A57" s="8" t="s">
        <v>149</v>
      </c>
      <c r="B57" s="9" t="s">
        <v>150</v>
      </c>
    </row>
    <row r="58" spans="1:2" x14ac:dyDescent="0.25">
      <c r="A58" s="8" t="s">
        <v>151</v>
      </c>
      <c r="B58" s="9" t="s">
        <v>152</v>
      </c>
    </row>
  </sheetData>
  <mergeCells count="1">
    <mergeCell ref="A1:B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4E78"/>
  </sheetPr>
  <dimension ref="A1:D73"/>
  <sheetViews>
    <sheetView showGridLines="0" zoomScaleNormal="100" workbookViewId="0">
      <pane ySplit="2" topLeftCell="A3" activePane="bottomLeft" state="frozen"/>
      <selection pane="bottomLeft" activeCell="C12" sqref="C12"/>
    </sheetView>
  </sheetViews>
  <sheetFormatPr defaultColWidth="8.7109375" defaultRowHeight="15" x14ac:dyDescent="0.25"/>
  <cols>
    <col min="1" max="1" width="42" customWidth="1"/>
    <col min="2" max="2" width="24.5703125" bestFit="1" customWidth="1"/>
    <col min="3" max="3" width="18" customWidth="1"/>
    <col min="4" max="4" width="40" customWidth="1"/>
  </cols>
  <sheetData>
    <row r="1" spans="1:4" ht="24" customHeight="1" x14ac:dyDescent="0.25">
      <c r="A1" s="66" t="s">
        <v>496</v>
      </c>
      <c r="B1" s="66"/>
      <c r="C1" s="66"/>
      <c r="D1" s="66"/>
    </row>
    <row r="2" spans="1:4" ht="20.25" x14ac:dyDescent="0.3">
      <c r="A2" s="97" t="s">
        <v>153</v>
      </c>
      <c r="B2" s="98"/>
      <c r="C2" s="98"/>
      <c r="D2" s="98"/>
    </row>
    <row r="3" spans="1:4" x14ac:dyDescent="0.25">
      <c r="A3" s="69" t="str">
        <f>CONCATENATE(Assumptions!$C$4)</f>
        <v>Enter Project Name Here</v>
      </c>
      <c r="B3" s="68"/>
      <c r="C3" s="68"/>
      <c r="D3" s="68"/>
    </row>
    <row r="4" spans="1:4" x14ac:dyDescent="0.25">
      <c r="A4" s="68"/>
      <c r="B4" s="68"/>
      <c r="C4" s="68"/>
      <c r="D4" s="68"/>
    </row>
    <row r="5" spans="1:4" x14ac:dyDescent="0.25">
      <c r="A5" s="70" t="s">
        <v>154</v>
      </c>
      <c r="B5" s="71" t="str">
        <f>CONCATENATE(Assumptions!$C$7," MW / ",Assumptions!$C$8," MWh")</f>
        <v>250 MW / 500 MWh</v>
      </c>
      <c r="C5" s="68"/>
      <c r="D5" s="68"/>
    </row>
    <row r="6" spans="1:4" x14ac:dyDescent="0.25">
      <c r="A6" s="68"/>
      <c r="B6" s="68"/>
      <c r="C6" s="68"/>
      <c r="D6" s="68"/>
    </row>
    <row r="7" spans="1:4" ht="18" customHeight="1" x14ac:dyDescent="0.25">
      <c r="A7" s="72" t="s">
        <v>155</v>
      </c>
      <c r="B7" s="73"/>
      <c r="C7" s="73"/>
      <c r="D7" s="73"/>
    </row>
    <row r="8" spans="1:4" ht="15.75" x14ac:dyDescent="0.25">
      <c r="A8" s="74" t="s">
        <v>16</v>
      </c>
      <c r="B8" s="75">
        <f>Assumptions!$C$77*1000000/12</f>
        <v>550000</v>
      </c>
      <c r="C8" s="76">
        <f>Assumptions!$C$77</f>
        <v>6.6</v>
      </c>
      <c r="D8" s="68"/>
    </row>
    <row r="9" spans="1:4" x14ac:dyDescent="0.25">
      <c r="A9" s="77" t="s">
        <v>156</v>
      </c>
      <c r="B9" s="78">
        <f>'Cash Flow'!C40</f>
        <v>0.14595476194912127</v>
      </c>
      <c r="C9" s="68"/>
      <c r="D9" s="68"/>
    </row>
    <row r="10" spans="1:4" x14ac:dyDescent="0.25">
      <c r="A10" s="77" t="s">
        <v>157</v>
      </c>
      <c r="B10" s="78">
        <f>'Cash Flow'!C39</f>
        <v>0.31469932830013314</v>
      </c>
      <c r="C10" s="68"/>
      <c r="D10" s="68"/>
    </row>
    <row r="11" spans="1:4" x14ac:dyDescent="0.25">
      <c r="A11" s="77" t="s">
        <v>158</v>
      </c>
      <c r="B11" s="79">
        <f>'Cash Flow'!C36</f>
        <v>1.3018702105636237</v>
      </c>
      <c r="C11" s="68"/>
      <c r="D11" s="68"/>
    </row>
    <row r="12" spans="1:4" x14ac:dyDescent="0.25">
      <c r="A12" s="77" t="s">
        <v>159</v>
      </c>
      <c r="B12" s="79">
        <f>'Cash Flow'!C37</f>
        <v>3.0566467621025555</v>
      </c>
      <c r="C12" s="68"/>
      <c r="D12" s="68"/>
    </row>
    <row r="13" spans="1:4" x14ac:dyDescent="0.25">
      <c r="A13" s="77" t="s">
        <v>160</v>
      </c>
      <c r="B13" s="79">
        <f>'Cash Flow'!C38</f>
        <v>1.5006609194621761</v>
      </c>
      <c r="C13" s="68"/>
      <c r="D13" s="68"/>
    </row>
    <row r="14" spans="1:4" x14ac:dyDescent="0.25">
      <c r="A14" s="77" t="s">
        <v>161</v>
      </c>
      <c r="B14" s="80">
        <f>'Cash Flow'!C45</f>
        <v>2.6488209307175175</v>
      </c>
      <c r="C14" s="68"/>
      <c r="D14" s="68"/>
    </row>
    <row r="15" spans="1:4" x14ac:dyDescent="0.25">
      <c r="A15" s="77" t="s">
        <v>162</v>
      </c>
      <c r="B15" s="80">
        <f>'Cash Flow'!C46</f>
        <v>5.1394441449399206</v>
      </c>
      <c r="C15" s="68"/>
      <c r="D15" s="68"/>
    </row>
    <row r="16" spans="1:4" x14ac:dyDescent="0.25">
      <c r="A16" s="77" t="s">
        <v>163</v>
      </c>
      <c r="B16" s="81">
        <f>Assumptions!$C$34</f>
        <v>900</v>
      </c>
      <c r="C16" s="68"/>
      <c r="D16" s="68"/>
    </row>
    <row r="17" spans="1:4" x14ac:dyDescent="0.25">
      <c r="A17" s="77" t="s">
        <v>164</v>
      </c>
      <c r="B17" s="81">
        <f>Assumptions!$C$20</f>
        <v>8838.2000000000007</v>
      </c>
      <c r="C17" s="68"/>
      <c r="D17" s="68"/>
    </row>
    <row r="18" spans="1:4" x14ac:dyDescent="0.25">
      <c r="A18" s="77" t="s">
        <v>165</v>
      </c>
      <c r="B18" s="81">
        <f>Assumptions!$C$39</f>
        <v>2209.5500000000002</v>
      </c>
      <c r="C18" s="68"/>
      <c r="D18" s="68"/>
    </row>
    <row r="19" spans="1:4" x14ac:dyDescent="0.25">
      <c r="A19" s="77" t="s">
        <v>166</v>
      </c>
      <c r="B19" s="81">
        <f>Assumptions!$C$38</f>
        <v>6628.6500000000005</v>
      </c>
      <c r="C19" s="68"/>
      <c r="D19" s="68"/>
    </row>
    <row r="20" spans="1:4" x14ac:dyDescent="0.25">
      <c r="A20" s="68"/>
      <c r="B20" s="68"/>
      <c r="C20" s="68"/>
      <c r="D20" s="68"/>
    </row>
    <row r="21" spans="1:4" ht="18" customHeight="1" x14ac:dyDescent="0.25">
      <c r="A21" s="72" t="s">
        <v>167</v>
      </c>
      <c r="B21" s="73"/>
      <c r="C21" s="73"/>
      <c r="D21" s="73"/>
    </row>
    <row r="22" spans="1:4" x14ac:dyDescent="0.25">
      <c r="A22" s="82" t="str">
        <f>CONCATENATE("If actual degradation runs ",TEXT(Assumptions!$C$59,"0%")," worse than your committed curve:")</f>
        <v>If actual degradation runs 20% worse than your committed curve:</v>
      </c>
      <c r="B22" s="68"/>
      <c r="C22" s="68"/>
      <c r="D22" s="68"/>
    </row>
    <row r="23" spans="1:4" x14ac:dyDescent="0.25">
      <c r="A23" s="77" t="s">
        <v>168</v>
      </c>
      <c r="B23" s="81">
        <f>'Degradation-Augmentation'!C33</f>
        <v>1514.8754704236233</v>
      </c>
      <c r="C23" s="68"/>
      <c r="D23" s="68"/>
    </row>
    <row r="24" spans="1:4" x14ac:dyDescent="0.25">
      <c r="A24" s="77" t="s">
        <v>169</v>
      </c>
      <c r="B24" s="81">
        <f>'Degradation-Augmentation'!C34</f>
        <v>185.49276139020921</v>
      </c>
      <c r="C24" s="68"/>
      <c r="D24" s="68"/>
    </row>
    <row r="25" spans="1:4" x14ac:dyDescent="0.25">
      <c r="A25" s="68"/>
      <c r="B25" s="68"/>
      <c r="C25" s="68"/>
      <c r="D25" s="68"/>
    </row>
    <row r="26" spans="1:4" ht="18" customHeight="1" x14ac:dyDescent="0.25">
      <c r="A26" s="72" t="s">
        <v>170</v>
      </c>
      <c r="B26" s="73"/>
      <c r="C26" s="73"/>
      <c r="D26" s="73"/>
    </row>
    <row r="27" spans="1:4" x14ac:dyDescent="0.25">
      <c r="A27" s="83" t="s">
        <v>171</v>
      </c>
      <c r="B27" s="83" t="s">
        <v>172</v>
      </c>
      <c r="C27" s="83" t="s">
        <v>157</v>
      </c>
      <c r="D27" s="83" t="s">
        <v>173</v>
      </c>
    </row>
    <row r="28" spans="1:4" x14ac:dyDescent="0.25">
      <c r="A28" s="77" t="s">
        <v>174</v>
      </c>
      <c r="B28" s="84">
        <f>Sensitivity!C24</f>
        <v>1.2303122539856424</v>
      </c>
      <c r="C28" s="85">
        <f>Sensitivity!C25</f>
        <v>0.27164707497346496</v>
      </c>
      <c r="D28" s="86" t="str">
        <f>IF(AND(ISNUMBER(B28),B28&gt;=Assumptions!$C$86,ISNUMBER(C28),C28&gt;=Assumptions!$C$87),"PASS","FAIL")</f>
        <v>FAIL</v>
      </c>
    </row>
    <row r="29" spans="1:4" x14ac:dyDescent="0.25">
      <c r="A29" s="77" t="s">
        <v>16</v>
      </c>
      <c r="B29" s="87">
        <f>'Cash Flow'!C36</f>
        <v>1.3018702105636237</v>
      </c>
      <c r="C29" s="88">
        <f>'Cash Flow'!C39</f>
        <v>0.31469932830013314</v>
      </c>
      <c r="D29" s="86" t="str">
        <f>IF(AND(ISNUMBER(B29),B29&gt;=Assumptions!$C$86,ISNUMBER(C29),C29&gt;=Assumptions!$C$87),"PASS","FAIL")</f>
        <v>PASS</v>
      </c>
    </row>
    <row r="30" spans="1:4" x14ac:dyDescent="0.25">
      <c r="A30" s="77" t="s">
        <v>175</v>
      </c>
      <c r="B30" s="84">
        <f>Sensitivity!C46</f>
        <v>1.3662323956248597</v>
      </c>
      <c r="C30" s="85">
        <f>Sensitivity!C47</f>
        <v>0.35694352388355965</v>
      </c>
      <c r="D30" s="86" t="str">
        <f>IF(AND(ISNUMBER(B30),B30&gt;=Assumptions!$C$86,ISNUMBER(C30),C30&gt;=Assumptions!$C$87),"PASS","FAIL")</f>
        <v>PASS</v>
      </c>
    </row>
    <row r="31" spans="1:4" x14ac:dyDescent="0.25">
      <c r="A31" s="68"/>
      <c r="B31" s="68"/>
      <c r="C31" s="68"/>
      <c r="D31" s="68"/>
    </row>
    <row r="32" spans="1:4" ht="18" customHeight="1" x14ac:dyDescent="0.25">
      <c r="A32" s="72" t="s">
        <v>176</v>
      </c>
      <c r="B32" s="73"/>
      <c r="C32" s="73"/>
      <c r="D32" s="73"/>
    </row>
    <row r="33" spans="1:4" x14ac:dyDescent="0.25">
      <c r="A33" s="83" t="s">
        <v>177</v>
      </c>
      <c r="B33" s="83" t="s">
        <v>178</v>
      </c>
      <c r="C33" s="83" t="s">
        <v>179</v>
      </c>
      <c r="D33" s="83" t="s">
        <v>173</v>
      </c>
    </row>
    <row r="34" spans="1:4" x14ac:dyDescent="0.25">
      <c r="A34" s="77" t="s">
        <v>180</v>
      </c>
      <c r="B34" s="79">
        <f>'Cash Flow'!C36</f>
        <v>1.3018702105636237</v>
      </c>
      <c r="C34" s="79">
        <f>Assumptions!$C$86</f>
        <v>1.3</v>
      </c>
      <c r="D34" s="86" t="str">
        <f>IF(B34&gt;=C34,"PASS","FAIL — raise bid price")</f>
        <v>PASS</v>
      </c>
    </row>
    <row r="35" spans="1:4" x14ac:dyDescent="0.25">
      <c r="A35" s="77" t="s">
        <v>157</v>
      </c>
      <c r="B35" s="78">
        <f>'Cash Flow'!C39</f>
        <v>0.31469932830013314</v>
      </c>
      <c r="C35" s="78">
        <f>Assumptions!$C$87</f>
        <v>0.17</v>
      </c>
      <c r="D35" s="86" t="str">
        <f>IF(ISNUMBER(B35),IF(B35&gt;=C35,"PASS","FAIL — raise bid price"),"FAIL — bid price far too low")</f>
        <v>PASS</v>
      </c>
    </row>
    <row r="36" spans="1:4" x14ac:dyDescent="0.25">
      <c r="A36" s="77" t="s">
        <v>156</v>
      </c>
      <c r="B36" s="78">
        <f>'Cash Flow'!C40</f>
        <v>0.14595476194912127</v>
      </c>
      <c r="C36" s="78">
        <f>Assumptions!$C$88</f>
        <v>0.11</v>
      </c>
      <c r="D36" s="86" t="str">
        <f>IF(ISNUMBER(B36),IF(B36&gt;=C36,"PASS","FAIL — raise bid price"),"FAIL — bid price far too low")</f>
        <v>PASS</v>
      </c>
    </row>
    <row r="37" spans="1:4" x14ac:dyDescent="0.25">
      <c r="A37" s="68"/>
      <c r="B37" s="68"/>
      <c r="C37" s="68"/>
      <c r="D37" s="68"/>
    </row>
    <row r="38" spans="1:4" ht="18" customHeight="1" x14ac:dyDescent="0.25">
      <c r="A38" s="72" t="s">
        <v>181</v>
      </c>
      <c r="B38" s="73"/>
      <c r="C38" s="73"/>
      <c r="D38" s="73"/>
    </row>
    <row r="39" spans="1:4" x14ac:dyDescent="0.25">
      <c r="A39" s="89" t="s">
        <v>182</v>
      </c>
      <c r="B39" s="68"/>
      <c r="C39" s="68"/>
      <c r="D39" s="68"/>
    </row>
    <row r="40" spans="1:4" x14ac:dyDescent="0.25">
      <c r="A40" s="89" t="s">
        <v>183</v>
      </c>
      <c r="B40" s="68"/>
      <c r="C40" s="68"/>
      <c r="D40" s="68"/>
    </row>
    <row r="41" spans="1:4" x14ac:dyDescent="0.25">
      <c r="A41" s="89" t="s">
        <v>184</v>
      </c>
      <c r="B41" s="68"/>
      <c r="C41" s="68"/>
      <c r="D41" s="68"/>
    </row>
    <row r="42" spans="1:4" x14ac:dyDescent="0.25">
      <c r="A42" s="89" t="s">
        <v>185</v>
      </c>
      <c r="B42" s="68"/>
      <c r="C42" s="68"/>
      <c r="D42" s="68"/>
    </row>
    <row r="43" spans="1:4" x14ac:dyDescent="0.25">
      <c r="A43" s="89" t="s">
        <v>186</v>
      </c>
      <c r="B43" s="68"/>
      <c r="C43" s="68"/>
      <c r="D43" s="68"/>
    </row>
    <row r="44" spans="1:4" x14ac:dyDescent="0.25">
      <c r="A44" s="89" t="s">
        <v>187</v>
      </c>
      <c r="B44" s="68"/>
      <c r="C44" s="68"/>
      <c r="D44" s="68"/>
    </row>
    <row r="45" spans="1:4" x14ac:dyDescent="0.25">
      <c r="A45" s="68"/>
      <c r="B45" s="68"/>
      <c r="C45" s="68"/>
      <c r="D45" s="68"/>
    </row>
    <row r="46" spans="1:4" ht="18" customHeight="1" x14ac:dyDescent="0.25">
      <c r="A46" s="72" t="s">
        <v>188</v>
      </c>
      <c r="B46" s="73"/>
      <c r="C46" s="73"/>
      <c r="D46" s="73"/>
    </row>
    <row r="47" spans="1:4" x14ac:dyDescent="0.25">
      <c r="A47" s="77" t="s">
        <v>189</v>
      </c>
      <c r="B47" s="81">
        <f>Assumptions!$C$20</f>
        <v>8838.2000000000007</v>
      </c>
      <c r="C47" s="68"/>
      <c r="D47" s="68"/>
    </row>
    <row r="48" spans="1:4" x14ac:dyDescent="0.25">
      <c r="A48" s="77" t="s">
        <v>190</v>
      </c>
      <c r="B48" s="81">
        <f>Assumptions!$C$38</f>
        <v>6628.6500000000005</v>
      </c>
      <c r="C48" s="68"/>
      <c r="D48" s="68"/>
    </row>
    <row r="49" spans="1:4" x14ac:dyDescent="0.25">
      <c r="A49" s="77" t="s">
        <v>191</v>
      </c>
      <c r="B49" s="81">
        <f>Assumptions!$C$39</f>
        <v>2209.5500000000002</v>
      </c>
      <c r="C49" s="68"/>
      <c r="D49" s="68"/>
    </row>
    <row r="50" spans="1:4" x14ac:dyDescent="0.25">
      <c r="A50" s="77" t="s">
        <v>192</v>
      </c>
      <c r="B50" s="71" t="str">
        <f>CONCATENATE(TEXT('Degradation Curve'!$C$5,"0.0%")," / ",TEXT('Degradation Curve'!$C$6,"0.0%")," / ",TEXT('Degradation Curve'!$C$8,"0.0%"))</f>
        <v>3.5% / 2.0% / 1.7%</v>
      </c>
      <c r="C50" s="68"/>
      <c r="D50" s="68"/>
    </row>
    <row r="51" spans="1:4" x14ac:dyDescent="0.25">
      <c r="A51" s="77" t="s">
        <v>193</v>
      </c>
      <c r="B51" s="90">
        <f>SUM('Degradation-Augmentation'!D14:R14)</f>
        <v>1</v>
      </c>
      <c r="C51" s="68"/>
      <c r="D51" s="68"/>
    </row>
    <row r="52" spans="1:4" x14ac:dyDescent="0.25">
      <c r="A52" s="77" t="s">
        <v>194</v>
      </c>
      <c r="B52" s="81">
        <f>'Degradation-Augmentation'!R19</f>
        <v>355.19155433123808</v>
      </c>
      <c r="C52" s="68"/>
      <c r="D52" s="68"/>
    </row>
    <row r="53" spans="1:4" x14ac:dyDescent="0.25">
      <c r="A53" s="68"/>
      <c r="B53" s="68"/>
      <c r="C53" s="68"/>
      <c r="D53" s="68"/>
    </row>
    <row r="54" spans="1:4" x14ac:dyDescent="0.25">
      <c r="A54" s="68"/>
      <c r="B54" s="68"/>
      <c r="C54" s="68"/>
      <c r="D54" s="68"/>
    </row>
    <row r="55" spans="1:4" ht="18" customHeight="1" x14ac:dyDescent="0.25">
      <c r="A55" s="72" t="s">
        <v>195</v>
      </c>
      <c r="B55" s="73"/>
      <c r="C55" s="73"/>
      <c r="D55" s="73"/>
    </row>
    <row r="56" spans="1:4" x14ac:dyDescent="0.25">
      <c r="A56" s="83" t="s">
        <v>196</v>
      </c>
      <c r="B56" s="83" t="s">
        <v>197</v>
      </c>
      <c r="C56" s="83" t="s">
        <v>198</v>
      </c>
      <c r="D56" s="83" t="s">
        <v>199</v>
      </c>
    </row>
    <row r="57" spans="1:4" x14ac:dyDescent="0.25">
      <c r="A57" s="77" t="s">
        <v>200</v>
      </c>
      <c r="B57" s="78">
        <f>Assumptions!$C$87</f>
        <v>0.17</v>
      </c>
      <c r="C57" s="91" t="s">
        <v>201</v>
      </c>
      <c r="D57" s="92" t="s">
        <v>202</v>
      </c>
    </row>
    <row r="58" spans="1:4" x14ac:dyDescent="0.25">
      <c r="A58" s="77" t="s">
        <v>203</v>
      </c>
      <c r="B58" s="79">
        <f>Assumptions!$C$86</f>
        <v>1.3</v>
      </c>
      <c r="C58" s="91" t="s">
        <v>204</v>
      </c>
      <c r="D58" s="92" t="s">
        <v>205</v>
      </c>
    </row>
    <row r="59" spans="1:4" x14ac:dyDescent="0.25">
      <c r="A59" s="77" t="s">
        <v>206</v>
      </c>
      <c r="B59" s="93">
        <f>(Assumptions!$C$17)/Assumptions!$C$8</f>
        <v>14.98</v>
      </c>
      <c r="C59" s="91" t="s">
        <v>207</v>
      </c>
      <c r="D59" s="92" t="s">
        <v>208</v>
      </c>
    </row>
    <row r="60" spans="1:4" x14ac:dyDescent="0.25">
      <c r="A60" s="77" t="s">
        <v>15</v>
      </c>
      <c r="B60" s="78">
        <f>Assumptions!$C$37</f>
        <v>0.75</v>
      </c>
      <c r="C60" s="91" t="s">
        <v>209</v>
      </c>
      <c r="D60" s="92" t="s">
        <v>210</v>
      </c>
    </row>
    <row r="61" spans="1:4" x14ac:dyDescent="0.25">
      <c r="A61" s="77" t="s">
        <v>211</v>
      </c>
      <c r="B61" s="94">
        <f>(Assumptions!$C$62*Assumptions!$C$7)/Assumptions!$C$17</f>
        <v>1.5020026702269693E-2</v>
      </c>
      <c r="C61" s="91" t="s">
        <v>212</v>
      </c>
      <c r="D61" s="92" t="s">
        <v>213</v>
      </c>
    </row>
    <row r="62" spans="1:4" x14ac:dyDescent="0.25">
      <c r="A62" s="77" t="s">
        <v>214</v>
      </c>
      <c r="B62" s="90">
        <f>Assumptions!$C$47</f>
        <v>15</v>
      </c>
      <c r="C62" s="91" t="s">
        <v>215</v>
      </c>
      <c r="D62" s="92" t="s">
        <v>216</v>
      </c>
    </row>
    <row r="63" spans="1:4" x14ac:dyDescent="0.25">
      <c r="A63" s="68"/>
      <c r="B63" s="68"/>
      <c r="C63" s="68"/>
      <c r="D63" s="68"/>
    </row>
    <row r="64" spans="1:4" ht="72.75" x14ac:dyDescent="0.25">
      <c r="A64" s="95" t="s">
        <v>217</v>
      </c>
      <c r="B64" s="68"/>
      <c r="C64" s="68"/>
      <c r="D64" s="68"/>
    </row>
    <row r="65" spans="1:4" x14ac:dyDescent="0.25">
      <c r="A65" s="68"/>
      <c r="B65" s="68"/>
      <c r="C65" s="68"/>
      <c r="D65" s="68"/>
    </row>
    <row r="66" spans="1:4" ht="18" customHeight="1" x14ac:dyDescent="0.25">
      <c r="A66" s="72" t="s">
        <v>218</v>
      </c>
      <c r="B66" s="73"/>
      <c r="C66" s="73"/>
      <c r="D66" s="73"/>
    </row>
    <row r="67" spans="1:4" x14ac:dyDescent="0.25">
      <c r="A67" s="83" t="s">
        <v>219</v>
      </c>
      <c r="B67" s="83" t="s">
        <v>173</v>
      </c>
      <c r="C67" s="68"/>
      <c r="D67" s="68"/>
    </row>
    <row r="68" spans="1:4" x14ac:dyDescent="0.25">
      <c r="A68" s="77" t="s">
        <v>220</v>
      </c>
      <c r="B68" s="86" t="str">
        <f>IF(Assumptions!$C$47&lt;&gt;15,"WARNING: Project/PPA Life &lt;&gt; 15 - year columns do NOT resize; cash flows beyond/short of Year 15 are NOT captured","OK")</f>
        <v>OK</v>
      </c>
      <c r="C68" s="68"/>
      <c r="D68" s="68"/>
    </row>
    <row r="69" spans="1:4" x14ac:dyDescent="0.25">
      <c r="A69" s="77" t="s">
        <v>221</v>
      </c>
      <c r="B69" s="86" t="str">
        <f>IF(Assumptions!$C$43&gt;15,"WARNING: Debt tenor exceeds 15yr horizon - debt still outstanding at Year 15; DSCR/IRR shown will overstate true returns","OK")</f>
        <v>OK</v>
      </c>
      <c r="C69" s="68"/>
      <c r="D69" s="68"/>
    </row>
    <row r="70" spans="1:4" x14ac:dyDescent="0.25">
      <c r="A70" s="77" t="s">
        <v>222</v>
      </c>
      <c r="B70" s="86" t="str">
        <f>IF(Assumptions!$C$44&gt;=Assumptions!$C$43,"WARNING: Moratorium &gt;= Tenor - principal is NEVER repaid; fix one of the two inputs","OK")</f>
        <v>OK</v>
      </c>
      <c r="C70" s="68"/>
      <c r="D70" s="68"/>
    </row>
    <row r="71" spans="1:4" x14ac:dyDescent="0.25">
      <c r="A71" s="77" t="s">
        <v>223</v>
      </c>
      <c r="B71" s="86" t="str">
        <f>IF(MAX('Degradation-Augmentation'!D7:R7)&gt;Assumptions!$C$8,"WARNING: A Tender Minimum MWh value exceeds Rated MWh - augmentation would trigger every year","OK")</f>
        <v>OK</v>
      </c>
      <c r="C71" s="68"/>
      <c r="D71" s="68"/>
    </row>
    <row r="72" spans="1:4" x14ac:dyDescent="0.25">
      <c r="A72" s="77" t="s">
        <v>224</v>
      </c>
      <c r="B72" s="96">
        <f>MAX('Balance Sheet'!C20:R20)</f>
        <v>0</v>
      </c>
      <c r="C72" s="96">
        <f>MIN('Balance Sheet'!C20:R20)</f>
        <v>0</v>
      </c>
      <c r="D72" s="68"/>
    </row>
    <row r="73" spans="1:4" x14ac:dyDescent="0.25">
      <c r="A73" s="77" t="s">
        <v>225</v>
      </c>
      <c r="B73" s="86" t="str">
        <f>IF(OR(B72&gt;1,C72&lt;-1),"WARNING: Balance Sheet does not tie out - see max/min deviation above (Rs Million)","OK")</f>
        <v>OK</v>
      </c>
      <c r="C73" s="68"/>
      <c r="D73" s="68"/>
    </row>
  </sheetData>
  <mergeCells count="1">
    <mergeCell ref="A1:D1"/>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75B6"/>
  </sheetPr>
  <dimension ref="A1:D88"/>
  <sheetViews>
    <sheetView showGridLines="0" zoomScaleNormal="100" workbookViewId="0">
      <pane ySplit="2" topLeftCell="A3" activePane="bottomLeft" state="frozen"/>
      <selection pane="bottomLeft" activeCell="A2" sqref="A2"/>
    </sheetView>
  </sheetViews>
  <sheetFormatPr defaultColWidth="8.7109375" defaultRowHeight="15" x14ac:dyDescent="0.25"/>
  <cols>
    <col min="1" max="1" width="42" customWidth="1"/>
    <col min="2" max="2" width="16" customWidth="1"/>
    <col min="3" max="3" width="23" customWidth="1"/>
    <col min="4" max="4" width="31.5703125" customWidth="1"/>
  </cols>
  <sheetData>
    <row r="1" spans="1:4" ht="24" customHeight="1" x14ac:dyDescent="0.25">
      <c r="A1" s="66" t="s">
        <v>508</v>
      </c>
      <c r="B1" s="66"/>
      <c r="C1" s="66"/>
      <c r="D1" s="66"/>
    </row>
    <row r="2" spans="1:4" ht="18" x14ac:dyDescent="0.25">
      <c r="A2" s="19" t="s">
        <v>226</v>
      </c>
    </row>
    <row r="4" spans="1:4" x14ac:dyDescent="0.25">
      <c r="A4" s="8" t="s">
        <v>4</v>
      </c>
      <c r="C4" s="20" t="s">
        <v>227</v>
      </c>
    </row>
    <row r="6" spans="1:4" ht="18" customHeight="1" x14ac:dyDescent="0.25">
      <c r="A6" s="6" t="s">
        <v>228</v>
      </c>
      <c r="B6" s="7"/>
      <c r="C6" s="7"/>
    </row>
    <row r="7" spans="1:4" x14ac:dyDescent="0.25">
      <c r="A7" s="10" t="s">
        <v>229</v>
      </c>
      <c r="B7" s="13" t="s">
        <v>230</v>
      </c>
      <c r="C7" s="21">
        <v>250</v>
      </c>
    </row>
    <row r="8" spans="1:4" x14ac:dyDescent="0.25">
      <c r="A8" s="22" t="s">
        <v>231</v>
      </c>
      <c r="B8" s="23" t="s">
        <v>232</v>
      </c>
      <c r="C8" s="24">
        <v>500</v>
      </c>
    </row>
    <row r="9" spans="1:4" x14ac:dyDescent="0.25">
      <c r="A9" s="10" t="s">
        <v>233</v>
      </c>
      <c r="B9" s="13" t="s">
        <v>234</v>
      </c>
      <c r="C9" s="25">
        <f>C8/C7</f>
        <v>2</v>
      </c>
    </row>
    <row r="11" spans="1:4" ht="18" customHeight="1" x14ac:dyDescent="0.25">
      <c r="A11" s="6" t="s">
        <v>235</v>
      </c>
      <c r="B11" s="7"/>
      <c r="C11" s="7"/>
    </row>
    <row r="12" spans="1:4" x14ac:dyDescent="0.25">
      <c r="A12" s="22" t="s">
        <v>236</v>
      </c>
      <c r="B12" s="23" t="s">
        <v>237</v>
      </c>
      <c r="C12" s="26">
        <v>8.5</v>
      </c>
    </row>
    <row r="13" spans="1:4" x14ac:dyDescent="0.25">
      <c r="A13" s="10" t="s">
        <v>238</v>
      </c>
      <c r="B13" s="13" t="s">
        <v>239</v>
      </c>
      <c r="C13" s="27">
        <v>11</v>
      </c>
    </row>
    <row r="14" spans="1:4" x14ac:dyDescent="0.25">
      <c r="A14" s="22" t="s">
        <v>240</v>
      </c>
      <c r="B14" s="23" t="s">
        <v>241</v>
      </c>
      <c r="C14" s="28">
        <f>C7*C13+C8*C12</f>
        <v>7000</v>
      </c>
    </row>
    <row r="15" spans="1:4" x14ac:dyDescent="0.25">
      <c r="A15" s="10" t="s">
        <v>242</v>
      </c>
      <c r="B15" s="13" t="s">
        <v>243</v>
      </c>
      <c r="C15" s="29">
        <v>0.03</v>
      </c>
    </row>
    <row r="16" spans="1:4" x14ac:dyDescent="0.25">
      <c r="A16" s="22" t="s">
        <v>244</v>
      </c>
      <c r="B16" s="23" t="s">
        <v>243</v>
      </c>
      <c r="C16" s="30">
        <v>0.04</v>
      </c>
    </row>
    <row r="17" spans="1:3" x14ac:dyDescent="0.25">
      <c r="A17" s="10" t="s">
        <v>245</v>
      </c>
      <c r="B17" s="13" t="s">
        <v>241</v>
      </c>
      <c r="C17" s="18">
        <f>C14*(1+C15+C16)</f>
        <v>7490</v>
      </c>
    </row>
    <row r="18" spans="1:3" x14ac:dyDescent="0.25">
      <c r="A18" s="22" t="s">
        <v>246</v>
      </c>
      <c r="B18" s="23" t="s">
        <v>243</v>
      </c>
      <c r="C18" s="30">
        <v>0.18</v>
      </c>
    </row>
    <row r="19" spans="1:3" x14ac:dyDescent="0.25">
      <c r="A19" s="10" t="s">
        <v>247</v>
      </c>
      <c r="B19" s="13" t="s">
        <v>241</v>
      </c>
      <c r="C19" s="18">
        <f>C17*C18</f>
        <v>1348.2</v>
      </c>
    </row>
    <row r="20" spans="1:3" x14ac:dyDescent="0.25">
      <c r="A20" s="31" t="s">
        <v>248</v>
      </c>
      <c r="B20" s="23" t="s">
        <v>241</v>
      </c>
      <c r="C20" s="32">
        <f>C17+C19</f>
        <v>8838.2000000000007</v>
      </c>
    </row>
    <row r="22" spans="1:3" ht="18" customHeight="1" x14ac:dyDescent="0.25">
      <c r="A22" s="6" t="s">
        <v>249</v>
      </c>
      <c r="B22" s="7"/>
      <c r="C22" s="7"/>
    </row>
    <row r="23" spans="1:3" x14ac:dyDescent="0.25">
      <c r="A23" s="10" t="s">
        <v>250</v>
      </c>
      <c r="B23" s="13" t="s">
        <v>243</v>
      </c>
      <c r="C23" s="29">
        <v>0.15</v>
      </c>
    </row>
    <row r="24" spans="1:3" x14ac:dyDescent="0.25">
      <c r="A24" s="22" t="s">
        <v>251</v>
      </c>
      <c r="B24" s="23" t="s">
        <v>241</v>
      </c>
      <c r="C24" s="28">
        <f>C17*C23</f>
        <v>1123.5</v>
      </c>
    </row>
    <row r="25" spans="1:3" x14ac:dyDescent="0.25">
      <c r="A25" s="10" t="s">
        <v>252</v>
      </c>
      <c r="B25" s="13" t="s">
        <v>241</v>
      </c>
      <c r="C25" s="18">
        <f>C17-C24</f>
        <v>6366.5</v>
      </c>
    </row>
    <row r="26" spans="1:3" x14ac:dyDescent="0.25">
      <c r="A26" s="22" t="s">
        <v>253</v>
      </c>
      <c r="B26" s="23" t="s">
        <v>241</v>
      </c>
      <c r="C26" s="28">
        <f>C24*C18</f>
        <v>202.23</v>
      </c>
    </row>
    <row r="27" spans="1:3" x14ac:dyDescent="0.25">
      <c r="A27" s="10" t="s">
        <v>254</v>
      </c>
      <c r="B27" s="13" t="s">
        <v>241</v>
      </c>
      <c r="C27" s="18">
        <f>C25*C18</f>
        <v>1145.97</v>
      </c>
    </row>
    <row r="28" spans="1:3" x14ac:dyDescent="0.25">
      <c r="A28" s="31" t="s">
        <v>255</v>
      </c>
      <c r="B28" s="23" t="s">
        <v>241</v>
      </c>
      <c r="C28" s="32">
        <f>C17+C26</f>
        <v>7692.23</v>
      </c>
    </row>
    <row r="29" spans="1:3" x14ac:dyDescent="0.25">
      <c r="A29" s="8" t="s">
        <v>256</v>
      </c>
      <c r="B29" s="13" t="s">
        <v>241</v>
      </c>
      <c r="C29" s="32">
        <f>C27</f>
        <v>1145.97</v>
      </c>
    </row>
    <row r="31" spans="1:3" ht="18" customHeight="1" x14ac:dyDescent="0.25">
      <c r="A31" s="6" t="s">
        <v>257</v>
      </c>
      <c r="B31" s="7"/>
      <c r="C31" s="7"/>
    </row>
    <row r="32" spans="1:3" x14ac:dyDescent="0.25">
      <c r="A32" s="22" t="s">
        <v>258</v>
      </c>
      <c r="B32" s="23" t="s">
        <v>237</v>
      </c>
      <c r="C32" s="26">
        <v>1.8</v>
      </c>
    </row>
    <row r="33" spans="1:3" x14ac:dyDescent="0.25">
      <c r="A33" s="10" t="s">
        <v>259</v>
      </c>
      <c r="B33" s="13" t="s">
        <v>243</v>
      </c>
      <c r="C33" s="29">
        <v>0.3</v>
      </c>
    </row>
    <row r="34" spans="1:3" x14ac:dyDescent="0.25">
      <c r="A34" s="31" t="s">
        <v>260</v>
      </c>
      <c r="B34" s="23" t="s">
        <v>241</v>
      </c>
      <c r="C34" s="32">
        <f>MIN(C32*C8,C33*C17)</f>
        <v>900</v>
      </c>
    </row>
    <row r="36" spans="1:3" ht="18" customHeight="1" x14ac:dyDescent="0.25">
      <c r="A36" s="6" t="s">
        <v>261</v>
      </c>
      <c r="B36" s="7"/>
      <c r="C36" s="7"/>
    </row>
    <row r="37" spans="1:3" x14ac:dyDescent="0.25">
      <c r="A37" s="10" t="s">
        <v>262</v>
      </c>
      <c r="B37" s="13" t="s">
        <v>243</v>
      </c>
      <c r="C37" s="29">
        <v>0.75</v>
      </c>
    </row>
    <row r="38" spans="1:3" x14ac:dyDescent="0.25">
      <c r="A38" s="22" t="s">
        <v>263</v>
      </c>
      <c r="B38" s="23" t="s">
        <v>241</v>
      </c>
      <c r="C38" s="28">
        <f>C20*C37</f>
        <v>6628.6500000000005</v>
      </c>
    </row>
    <row r="39" spans="1:3" x14ac:dyDescent="0.25">
      <c r="A39" s="10" t="s">
        <v>264</v>
      </c>
      <c r="B39" s="13" t="s">
        <v>241</v>
      </c>
      <c r="C39" s="18">
        <f>C20-C38</f>
        <v>2209.5500000000002</v>
      </c>
    </row>
    <row r="40" spans="1:3" x14ac:dyDescent="0.25">
      <c r="A40" s="31" t="s">
        <v>265</v>
      </c>
      <c r="B40" s="23" t="s">
        <v>241</v>
      </c>
      <c r="C40" s="33">
        <f>C38+C39-C20</f>
        <v>0</v>
      </c>
    </row>
    <row r="42" spans="1:3" x14ac:dyDescent="0.25">
      <c r="A42" s="22" t="s">
        <v>266</v>
      </c>
      <c r="B42" s="23" t="s">
        <v>243</v>
      </c>
      <c r="C42" s="30">
        <v>0.10249999999999999</v>
      </c>
    </row>
    <row r="43" spans="1:3" x14ac:dyDescent="0.25">
      <c r="A43" s="10" t="s">
        <v>267</v>
      </c>
      <c r="B43" s="13" t="s">
        <v>268</v>
      </c>
      <c r="C43" s="34">
        <v>15</v>
      </c>
    </row>
    <row r="44" spans="1:3" x14ac:dyDescent="0.25">
      <c r="A44" s="22" t="s">
        <v>269</v>
      </c>
      <c r="B44" s="23" t="s">
        <v>268</v>
      </c>
      <c r="C44" s="35">
        <v>1</v>
      </c>
    </row>
    <row r="46" spans="1:3" ht="18" customHeight="1" x14ac:dyDescent="0.25">
      <c r="A46" s="6" t="s">
        <v>270</v>
      </c>
      <c r="B46" s="7"/>
      <c r="C46" s="7"/>
    </row>
    <row r="47" spans="1:3" x14ac:dyDescent="0.25">
      <c r="A47" s="10" t="s">
        <v>271</v>
      </c>
      <c r="B47" s="13" t="s">
        <v>268</v>
      </c>
      <c r="C47" s="34">
        <v>15</v>
      </c>
    </row>
    <row r="48" spans="1:3" x14ac:dyDescent="0.25">
      <c r="A48" s="22" t="s">
        <v>272</v>
      </c>
      <c r="B48" s="23" t="s">
        <v>243</v>
      </c>
      <c r="C48" s="30">
        <v>0.87</v>
      </c>
    </row>
    <row r="49" spans="1:3" x14ac:dyDescent="0.25">
      <c r="A49" s="10" t="s">
        <v>273</v>
      </c>
      <c r="B49" s="13" t="s">
        <v>274</v>
      </c>
      <c r="C49" s="36">
        <v>2</v>
      </c>
    </row>
    <row r="50" spans="1:3" x14ac:dyDescent="0.25">
      <c r="A50" s="22" t="s">
        <v>275</v>
      </c>
      <c r="B50" s="23" t="s">
        <v>243</v>
      </c>
      <c r="C50" s="30">
        <v>0.98</v>
      </c>
    </row>
    <row r="51" spans="1:3" x14ac:dyDescent="0.25">
      <c r="A51" s="10" t="s">
        <v>276</v>
      </c>
      <c r="B51" s="13" t="s">
        <v>243</v>
      </c>
      <c r="C51" s="29">
        <v>1</v>
      </c>
    </row>
    <row r="53" spans="1:3" ht="18" customHeight="1" x14ac:dyDescent="0.25">
      <c r="A53" s="6" t="s">
        <v>277</v>
      </c>
      <c r="B53" s="7"/>
      <c r="C53" s="7"/>
    </row>
    <row r="54" spans="1:3" x14ac:dyDescent="0.25">
      <c r="A54" s="31" t="s">
        <v>278</v>
      </c>
      <c r="B54" s="37"/>
      <c r="C54" s="38" t="s">
        <v>279</v>
      </c>
    </row>
    <row r="55" spans="1:3" x14ac:dyDescent="0.25">
      <c r="A55" s="10" t="s">
        <v>280</v>
      </c>
      <c r="B55" s="13" t="s">
        <v>243</v>
      </c>
      <c r="C55" s="29">
        <v>0.55000000000000004</v>
      </c>
    </row>
    <row r="57" spans="1:3" ht="18" customHeight="1" x14ac:dyDescent="0.25">
      <c r="A57" s="6" t="s">
        <v>281</v>
      </c>
      <c r="B57" s="7"/>
      <c r="C57" s="7"/>
    </row>
    <row r="58" spans="1:3" x14ac:dyDescent="0.25">
      <c r="A58" s="10" t="s">
        <v>282</v>
      </c>
      <c r="B58" s="13" t="s">
        <v>283</v>
      </c>
      <c r="C58" s="39">
        <v>2</v>
      </c>
    </row>
    <row r="59" spans="1:3" x14ac:dyDescent="0.25">
      <c r="A59" s="10" t="s">
        <v>284</v>
      </c>
      <c r="B59" s="13" t="s">
        <v>243</v>
      </c>
      <c r="C59" s="29">
        <v>0.2</v>
      </c>
    </row>
    <row r="61" spans="1:3" ht="18" customHeight="1" x14ac:dyDescent="0.25">
      <c r="A61" s="6" t="s">
        <v>285</v>
      </c>
      <c r="B61" s="7"/>
      <c r="C61" s="7"/>
    </row>
    <row r="62" spans="1:3" x14ac:dyDescent="0.25">
      <c r="A62" s="10" t="s">
        <v>286</v>
      </c>
      <c r="B62" s="13" t="s">
        <v>287</v>
      </c>
      <c r="C62" s="27">
        <v>0.45</v>
      </c>
    </row>
    <row r="63" spans="1:3" x14ac:dyDescent="0.25">
      <c r="A63" s="10" t="s">
        <v>288</v>
      </c>
      <c r="B63" s="13" t="s">
        <v>289</v>
      </c>
      <c r="C63" s="29">
        <v>0.05</v>
      </c>
    </row>
    <row r="64" spans="1:3" x14ac:dyDescent="0.25">
      <c r="A64" s="10" t="s">
        <v>290</v>
      </c>
      <c r="B64" s="13" t="s">
        <v>243</v>
      </c>
      <c r="C64" s="40">
        <v>3.5000000000000001E-3</v>
      </c>
    </row>
    <row r="66" spans="1:3" ht="18" customHeight="1" x14ac:dyDescent="0.25">
      <c r="A66" s="6" t="s">
        <v>291</v>
      </c>
      <c r="B66" s="7"/>
      <c r="C66" s="7"/>
    </row>
    <row r="67" spans="1:3" x14ac:dyDescent="0.25">
      <c r="A67" s="10" t="s">
        <v>292</v>
      </c>
      <c r="B67" s="13" t="s">
        <v>243</v>
      </c>
      <c r="C67" s="29">
        <v>0.25169999999999998</v>
      </c>
    </row>
    <row r="68" spans="1:3" ht="18" customHeight="1" x14ac:dyDescent="0.25">
      <c r="A68" s="6" t="s">
        <v>293</v>
      </c>
      <c r="B68" s="7"/>
      <c r="C68" s="7"/>
    </row>
    <row r="69" spans="1:3" x14ac:dyDescent="0.25">
      <c r="A69" s="10" t="s">
        <v>294</v>
      </c>
      <c r="B69" s="13" t="s">
        <v>243</v>
      </c>
      <c r="C69" s="29">
        <v>0.15</v>
      </c>
    </row>
    <row r="70" spans="1:3" x14ac:dyDescent="0.25">
      <c r="A70" s="10" t="s">
        <v>295</v>
      </c>
      <c r="B70" s="13" t="s">
        <v>243</v>
      </c>
      <c r="C70" s="29">
        <v>0.1</v>
      </c>
    </row>
    <row r="72" spans="1:3" ht="18" customHeight="1" x14ac:dyDescent="0.25">
      <c r="A72" s="6" t="s">
        <v>296</v>
      </c>
      <c r="B72" s="7"/>
      <c r="C72" s="7"/>
    </row>
    <row r="73" spans="1:3" x14ac:dyDescent="0.25">
      <c r="A73" s="10" t="s">
        <v>297</v>
      </c>
      <c r="B73" s="13" t="s">
        <v>268</v>
      </c>
      <c r="C73" s="34">
        <v>15</v>
      </c>
    </row>
    <row r="74" spans="1:3" x14ac:dyDescent="0.25">
      <c r="A74" s="10" t="s">
        <v>298</v>
      </c>
      <c r="B74" s="13" t="s">
        <v>299</v>
      </c>
      <c r="C74" s="29">
        <v>0.05</v>
      </c>
    </row>
    <row r="76" spans="1:3" ht="18" customHeight="1" x14ac:dyDescent="0.25">
      <c r="A76" s="6" t="s">
        <v>300</v>
      </c>
      <c r="B76" s="7"/>
      <c r="C76" s="7"/>
    </row>
    <row r="77" spans="1:3" x14ac:dyDescent="0.25">
      <c r="A77" s="8" t="s">
        <v>301</v>
      </c>
      <c r="B77" s="13" t="s">
        <v>302</v>
      </c>
      <c r="C77" s="41">
        <v>6.6</v>
      </c>
    </row>
    <row r="78" spans="1:3" x14ac:dyDescent="0.25">
      <c r="A78" s="10" t="s">
        <v>303</v>
      </c>
      <c r="B78" s="13" t="s">
        <v>304</v>
      </c>
      <c r="C78" s="42">
        <v>0</v>
      </c>
    </row>
    <row r="80" spans="1:3" ht="18" customHeight="1" x14ac:dyDescent="0.25">
      <c r="A80" s="6" t="s">
        <v>305</v>
      </c>
      <c r="B80" s="7"/>
      <c r="C80" s="7"/>
    </row>
    <row r="81" spans="1:3" x14ac:dyDescent="0.25">
      <c r="A81" s="8" t="s">
        <v>306</v>
      </c>
      <c r="B81" s="13" t="s">
        <v>241</v>
      </c>
      <c r="C81" s="32">
        <f>C20-C34</f>
        <v>7938.2000000000007</v>
      </c>
    </row>
    <row r="83" spans="1:3" ht="18" customHeight="1" x14ac:dyDescent="0.25">
      <c r="A83" s="6" t="s">
        <v>307</v>
      </c>
      <c r="B83" s="7"/>
      <c r="C83" s="7"/>
    </row>
    <row r="84" spans="1:3" x14ac:dyDescent="0.25">
      <c r="A84" s="10" t="s">
        <v>308</v>
      </c>
      <c r="B84" s="13" t="s">
        <v>243</v>
      </c>
      <c r="C84" s="29">
        <v>0.22500000000000001</v>
      </c>
    </row>
    <row r="85" spans="1:3" ht="18" customHeight="1" x14ac:dyDescent="0.25">
      <c r="A85" s="6" t="s">
        <v>309</v>
      </c>
      <c r="B85" s="7"/>
      <c r="C85" s="7"/>
    </row>
    <row r="86" spans="1:3" x14ac:dyDescent="0.25">
      <c r="A86" s="10" t="s">
        <v>310</v>
      </c>
      <c r="B86" s="13" t="s">
        <v>283</v>
      </c>
      <c r="C86" s="39">
        <v>1.3</v>
      </c>
    </row>
    <row r="87" spans="1:3" x14ac:dyDescent="0.25">
      <c r="A87" s="10" t="s">
        <v>311</v>
      </c>
      <c r="B87" s="13" t="s">
        <v>243</v>
      </c>
      <c r="C87" s="29">
        <v>0.17</v>
      </c>
    </row>
    <row r="88" spans="1:3" x14ac:dyDescent="0.25">
      <c r="A88" s="10" t="s">
        <v>312</v>
      </c>
      <c r="B88" s="13" t="s">
        <v>243</v>
      </c>
      <c r="C88" s="29">
        <v>0.11</v>
      </c>
    </row>
  </sheetData>
  <mergeCells count="1">
    <mergeCell ref="A1:D1"/>
  </mergeCells>
  <pageMargins left="0.75" right="0.75" top="1" bottom="1" header="0.511811023622047" footer="0.511811023622047"/>
  <pageSetup paperSize="9" orientation="portrait" horizontalDpi="300" verticalDpi="30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75B6"/>
  </sheetPr>
  <dimension ref="A1:D20"/>
  <sheetViews>
    <sheetView showGridLines="0" zoomScaleNormal="100" workbookViewId="0">
      <selection activeCell="A2" sqref="A2"/>
    </sheetView>
  </sheetViews>
  <sheetFormatPr defaultColWidth="8.7109375" defaultRowHeight="15" x14ac:dyDescent="0.25"/>
  <cols>
    <col min="1" max="1" width="42" customWidth="1"/>
    <col min="2" max="3" width="16" customWidth="1"/>
  </cols>
  <sheetData>
    <row r="1" spans="1:4" ht="24" customHeight="1" x14ac:dyDescent="0.25">
      <c r="A1" s="66" t="s">
        <v>507</v>
      </c>
      <c r="B1" s="66"/>
      <c r="C1" s="66"/>
      <c r="D1" s="66"/>
    </row>
    <row r="2" spans="1:4" ht="18" x14ac:dyDescent="0.25">
      <c r="A2" s="19" t="s">
        <v>313</v>
      </c>
    </row>
    <row r="3" spans="1:4" x14ac:dyDescent="0.25">
      <c r="A3" s="13" t="s">
        <v>314</v>
      </c>
    </row>
    <row r="5" spans="1:4" x14ac:dyDescent="0.25">
      <c r="A5" s="10" t="s">
        <v>315</v>
      </c>
      <c r="B5" s="13" t="s">
        <v>289</v>
      </c>
      <c r="C5" s="29">
        <v>3.5000000000000003E-2</v>
      </c>
    </row>
    <row r="6" spans="1:4" x14ac:dyDescent="0.25">
      <c r="A6" s="10" t="s">
        <v>316</v>
      </c>
      <c r="B6" s="13" t="s">
        <v>289</v>
      </c>
      <c r="C6" s="29">
        <v>0.02</v>
      </c>
    </row>
    <row r="7" spans="1:4" x14ac:dyDescent="0.25">
      <c r="A7" s="10" t="s">
        <v>317</v>
      </c>
      <c r="B7" s="13" t="s">
        <v>318</v>
      </c>
      <c r="C7" s="34">
        <v>4</v>
      </c>
    </row>
    <row r="8" spans="1:4" x14ac:dyDescent="0.25">
      <c r="A8" s="10" t="s">
        <v>319</v>
      </c>
      <c r="B8" s="13" t="s">
        <v>289</v>
      </c>
      <c r="C8" s="29">
        <v>1.7000000000000001E-2</v>
      </c>
    </row>
    <row r="10" spans="1:4" ht="18" customHeight="1" x14ac:dyDescent="0.25">
      <c r="A10" s="6" t="s">
        <v>320</v>
      </c>
      <c r="B10" s="7"/>
      <c r="C10" s="7"/>
    </row>
    <row r="11" spans="1:4" x14ac:dyDescent="0.25">
      <c r="A11" s="10" t="s">
        <v>321</v>
      </c>
      <c r="C11" s="16">
        <f>IF(1=1,C5,IF(1&lt;=C7,C6,C8))</f>
        <v>3.5000000000000003E-2</v>
      </c>
    </row>
    <row r="12" spans="1:4" x14ac:dyDescent="0.25">
      <c r="A12" s="10" t="s">
        <v>322</v>
      </c>
      <c r="C12" s="16">
        <f>IF(2=1,C5,IF(2&lt;=C7,C6,C8))</f>
        <v>0.02</v>
      </c>
    </row>
    <row r="13" spans="1:4" x14ac:dyDescent="0.25">
      <c r="A13" s="10" t="s">
        <v>323</v>
      </c>
      <c r="C13" s="16">
        <f>IF(3=1,C5,IF(3&lt;=C7,C6,C8))</f>
        <v>0.02</v>
      </c>
    </row>
    <row r="14" spans="1:4" x14ac:dyDescent="0.25">
      <c r="A14" s="10" t="s">
        <v>324</v>
      </c>
      <c r="C14" s="16">
        <f>IF(4=1,C5,IF(4&lt;=C7,C6,C8))</f>
        <v>0.02</v>
      </c>
    </row>
    <row r="15" spans="1:4" x14ac:dyDescent="0.25">
      <c r="A15" s="10" t="s">
        <v>325</v>
      </c>
      <c r="C15" s="16">
        <f>IF(5=1,C5,IF(5&lt;=C7,C6,C8))</f>
        <v>1.7000000000000001E-2</v>
      </c>
    </row>
    <row r="16" spans="1:4" x14ac:dyDescent="0.25">
      <c r="A16" s="10" t="s">
        <v>326</v>
      </c>
      <c r="C16" s="16">
        <f>IF(6=1,C5,IF(6&lt;=C7,C6,C8))</f>
        <v>1.7000000000000001E-2</v>
      </c>
    </row>
    <row r="17" spans="1:3" x14ac:dyDescent="0.25">
      <c r="A17" s="10" t="s">
        <v>327</v>
      </c>
      <c r="C17" s="16">
        <f>IF(7=1,C5,IF(7&lt;=C7,C6,C8))</f>
        <v>1.7000000000000001E-2</v>
      </c>
    </row>
    <row r="18" spans="1:3" x14ac:dyDescent="0.25">
      <c r="A18" s="10" t="s">
        <v>328</v>
      </c>
      <c r="C18" s="16">
        <f>IF(8=1,C5,IF(8&lt;=C7,C6,C8))</f>
        <v>1.7000000000000001E-2</v>
      </c>
    </row>
    <row r="20" spans="1:3" x14ac:dyDescent="0.25">
      <c r="A20" s="13" t="s">
        <v>329</v>
      </c>
    </row>
  </sheetData>
  <mergeCells count="1">
    <mergeCell ref="A1:D1"/>
  </mergeCells>
  <pageMargins left="0.75" right="0.75" top="1" bottom="1" header="0.511811023622047" footer="0.511811023622047"/>
  <pageSetup paperSize="9" orientation="portrait" horizontalDpi="300" verticalDpi="30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48235"/>
  </sheetPr>
  <dimension ref="A1:R34"/>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506</v>
      </c>
      <c r="B1" s="66"/>
      <c r="C1" s="66"/>
      <c r="D1" s="66"/>
      <c r="E1" s="66"/>
      <c r="F1" s="66"/>
      <c r="G1" s="66"/>
      <c r="H1" s="66"/>
      <c r="I1" s="66"/>
      <c r="J1" s="66"/>
      <c r="K1" s="66"/>
      <c r="L1" s="66"/>
      <c r="M1" s="66"/>
      <c r="N1" s="66"/>
      <c r="O1" s="66"/>
      <c r="P1" s="66"/>
      <c r="Q1" s="66"/>
      <c r="R1" s="66"/>
    </row>
    <row r="2" spans="1:18" ht="18" x14ac:dyDescent="0.25">
      <c r="A2" s="19" t="s">
        <v>330</v>
      </c>
    </row>
    <row r="3" spans="1:18" x14ac:dyDescent="0.25">
      <c r="A3" s="13" t="s">
        <v>331</v>
      </c>
    </row>
    <row r="4" spans="1:18" x14ac:dyDescent="0.25">
      <c r="A4" s="14" t="s">
        <v>332</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x14ac:dyDescent="0.25">
      <c r="A6" s="10" t="s">
        <v>334</v>
      </c>
      <c r="C6" s="44">
        <v>0</v>
      </c>
      <c r="D6" s="44">
        <v>250</v>
      </c>
      <c r="E6" s="44">
        <v>250</v>
      </c>
      <c r="F6" s="44">
        <v>250</v>
      </c>
      <c r="G6" s="44">
        <v>250</v>
      </c>
      <c r="H6" s="44">
        <v>250</v>
      </c>
      <c r="I6" s="44">
        <v>250</v>
      </c>
      <c r="J6" s="44">
        <v>250</v>
      </c>
      <c r="K6" s="44">
        <v>250</v>
      </c>
      <c r="L6" s="44">
        <v>250</v>
      </c>
      <c r="M6" s="44">
        <v>250</v>
      </c>
      <c r="N6" s="44">
        <v>250</v>
      </c>
      <c r="O6" s="44">
        <v>250</v>
      </c>
      <c r="P6" s="44">
        <v>250</v>
      </c>
      <c r="Q6" s="44">
        <v>250</v>
      </c>
      <c r="R6" s="44">
        <v>250</v>
      </c>
    </row>
    <row r="7" spans="1:18" x14ac:dyDescent="0.25">
      <c r="A7" s="10" t="s">
        <v>335</v>
      </c>
      <c r="C7" s="21">
        <v>0</v>
      </c>
      <c r="D7" s="21">
        <v>450</v>
      </c>
      <c r="E7" s="21">
        <v>446.5</v>
      </c>
      <c r="F7" s="21">
        <v>443</v>
      </c>
      <c r="G7" s="21">
        <v>439.5</v>
      </c>
      <c r="H7" s="21">
        <v>436</v>
      </c>
      <c r="I7" s="21">
        <v>432.5</v>
      </c>
      <c r="J7" s="21">
        <v>429</v>
      </c>
      <c r="K7" s="21">
        <v>425.5</v>
      </c>
      <c r="L7" s="21">
        <v>422</v>
      </c>
      <c r="M7" s="21">
        <v>418.5</v>
      </c>
      <c r="N7" s="21">
        <v>415</v>
      </c>
      <c r="O7" s="21">
        <v>411.5</v>
      </c>
      <c r="P7" s="21">
        <v>408</v>
      </c>
      <c r="Q7" s="21">
        <v>404.5</v>
      </c>
      <c r="R7" s="21">
        <v>401</v>
      </c>
    </row>
    <row r="9" spans="1:18" x14ac:dyDescent="0.25">
      <c r="A9" s="10" t="s">
        <v>336</v>
      </c>
      <c r="C9" s="45">
        <f>Assumptions!$C$8</f>
        <v>500</v>
      </c>
      <c r="D9" s="45">
        <f t="shared" ref="D9:R9" si="0">C16</f>
        <v>500</v>
      </c>
      <c r="E9" s="45">
        <f t="shared" si="0"/>
        <v>482.5</v>
      </c>
      <c r="F9" s="45">
        <f t="shared" si="0"/>
        <v>472.85</v>
      </c>
      <c r="G9" s="45">
        <f t="shared" si="0"/>
        <v>463.39300000000003</v>
      </c>
      <c r="H9" s="45">
        <f t="shared" si="0"/>
        <v>454.12514000000004</v>
      </c>
      <c r="I9" s="45">
        <f t="shared" si="0"/>
        <v>446.40501262000004</v>
      </c>
      <c r="J9" s="45">
        <f t="shared" si="0"/>
        <v>438.81612740546001</v>
      </c>
      <c r="K9" s="45">
        <f t="shared" si="0"/>
        <v>431.3562532395672</v>
      </c>
      <c r="L9" s="45">
        <f t="shared" si="0"/>
        <v>500</v>
      </c>
      <c r="M9" s="45">
        <f t="shared" si="0"/>
        <v>491.5</v>
      </c>
      <c r="N9" s="45">
        <f t="shared" si="0"/>
        <v>483.14449999999999</v>
      </c>
      <c r="O9" s="45">
        <f t="shared" si="0"/>
        <v>474.93104349999999</v>
      </c>
      <c r="P9" s="45">
        <f t="shared" si="0"/>
        <v>466.85721576049997</v>
      </c>
      <c r="Q9" s="45">
        <f t="shared" si="0"/>
        <v>458.92064309257148</v>
      </c>
      <c r="R9" s="45">
        <f t="shared" si="0"/>
        <v>451.11899215999779</v>
      </c>
    </row>
    <row r="10" spans="1:18" x14ac:dyDescent="0.25">
      <c r="A10" s="10" t="s">
        <v>337</v>
      </c>
      <c r="C10" s="46">
        <v>0</v>
      </c>
      <c r="D10" s="46">
        <f t="shared" ref="D10:R10" si="1">MAX(C10,C14)</f>
        <v>0</v>
      </c>
      <c r="E10" s="46">
        <f t="shared" si="1"/>
        <v>0</v>
      </c>
      <c r="F10" s="46">
        <f t="shared" si="1"/>
        <v>0</v>
      </c>
      <c r="G10" s="46">
        <f t="shared" si="1"/>
        <v>0</v>
      </c>
      <c r="H10" s="46">
        <f t="shared" si="1"/>
        <v>0</v>
      </c>
      <c r="I10" s="46">
        <f t="shared" si="1"/>
        <v>0</v>
      </c>
      <c r="J10" s="46">
        <f t="shared" si="1"/>
        <v>0</v>
      </c>
      <c r="K10" s="46">
        <f t="shared" si="1"/>
        <v>0</v>
      </c>
      <c r="L10" s="46">
        <f t="shared" si="1"/>
        <v>1</v>
      </c>
      <c r="M10" s="46">
        <f t="shared" si="1"/>
        <v>1</v>
      </c>
      <c r="N10" s="46">
        <f t="shared" si="1"/>
        <v>1</v>
      </c>
      <c r="O10" s="46">
        <f t="shared" si="1"/>
        <v>1</v>
      </c>
      <c r="P10" s="46">
        <f t="shared" si="1"/>
        <v>1</v>
      </c>
      <c r="Q10" s="46">
        <f t="shared" si="1"/>
        <v>1</v>
      </c>
      <c r="R10" s="46">
        <f t="shared" si="1"/>
        <v>1</v>
      </c>
    </row>
    <row r="11" spans="1:18" x14ac:dyDescent="0.25">
      <c r="A11" s="10" t="s">
        <v>338</v>
      </c>
      <c r="C11" s="16">
        <v>0</v>
      </c>
      <c r="D11" s="16">
        <f>IF(D10=1,'Degradation Curve'!$C$8,IF(1=1,'Degradation Curve'!$C$5,IF(1&lt;='Degradation Curve'!$C$7,'Degradation Curve'!$C$6,'Degradation Curve'!$C$8)))</f>
        <v>3.5000000000000003E-2</v>
      </c>
      <c r="E11" s="16">
        <f>IF(E10=1,'Degradation Curve'!$C$8,IF(2=1,'Degradation Curve'!$C$5,IF(2&lt;='Degradation Curve'!$C$7,'Degradation Curve'!$C$6,'Degradation Curve'!$C$8)))</f>
        <v>0.02</v>
      </c>
      <c r="F11" s="16">
        <f>IF(F10=1,'Degradation Curve'!$C$8,IF(3=1,'Degradation Curve'!$C$5,IF(3&lt;='Degradation Curve'!$C$7,'Degradation Curve'!$C$6,'Degradation Curve'!$C$8)))</f>
        <v>0.02</v>
      </c>
      <c r="G11" s="16">
        <f>IF(G10=1,'Degradation Curve'!$C$8,IF(4=1,'Degradation Curve'!$C$5,IF(4&lt;='Degradation Curve'!$C$7,'Degradation Curve'!$C$6,'Degradation Curve'!$C$8)))</f>
        <v>0.02</v>
      </c>
      <c r="H11" s="16">
        <f>IF(H10=1,'Degradation Curve'!$C$8,IF(5=1,'Degradation Curve'!$C$5,IF(5&lt;='Degradation Curve'!$C$7,'Degradation Curve'!$C$6,'Degradation Curve'!$C$8)))</f>
        <v>1.7000000000000001E-2</v>
      </c>
      <c r="I11" s="16">
        <f>IF(I10=1,'Degradation Curve'!$C$8,IF(6=1,'Degradation Curve'!$C$5,IF(6&lt;='Degradation Curve'!$C$7,'Degradation Curve'!$C$6,'Degradation Curve'!$C$8)))</f>
        <v>1.7000000000000001E-2</v>
      </c>
      <c r="J11" s="16">
        <f>IF(J10=1,'Degradation Curve'!$C$8,IF(7=1,'Degradation Curve'!$C$5,IF(7&lt;='Degradation Curve'!$C$7,'Degradation Curve'!$C$6,'Degradation Curve'!$C$8)))</f>
        <v>1.7000000000000001E-2</v>
      </c>
      <c r="K11" s="16">
        <f>IF(K10=1,'Degradation Curve'!$C$8,IF(8=1,'Degradation Curve'!$C$5,IF(8&lt;='Degradation Curve'!$C$7,'Degradation Curve'!$C$6,'Degradation Curve'!$C$8)))</f>
        <v>1.7000000000000001E-2</v>
      </c>
      <c r="L11" s="16">
        <f>IF(L10=1,'Degradation Curve'!$C$8,IF(9=1,'Degradation Curve'!$C$5,IF(9&lt;='Degradation Curve'!$C$7,'Degradation Curve'!$C$6,'Degradation Curve'!$C$8)))</f>
        <v>1.7000000000000001E-2</v>
      </c>
      <c r="M11" s="16">
        <f>IF(M10=1,'Degradation Curve'!$C$8,IF(10=1,'Degradation Curve'!$C$5,IF(10&lt;='Degradation Curve'!$C$7,'Degradation Curve'!$C$6,'Degradation Curve'!$C$8)))</f>
        <v>1.7000000000000001E-2</v>
      </c>
      <c r="N11" s="16">
        <f>IF(N10=1,'Degradation Curve'!$C$8,IF(11=1,'Degradation Curve'!$C$5,IF(11&lt;='Degradation Curve'!$C$7,'Degradation Curve'!$C$6,'Degradation Curve'!$C$8)))</f>
        <v>1.7000000000000001E-2</v>
      </c>
      <c r="O11" s="16">
        <f>IF(O10=1,'Degradation Curve'!$C$8,IF(12=1,'Degradation Curve'!$C$5,IF(12&lt;='Degradation Curve'!$C$7,'Degradation Curve'!$C$6,'Degradation Curve'!$C$8)))</f>
        <v>1.7000000000000001E-2</v>
      </c>
      <c r="P11" s="16">
        <f>IF(P10=1,'Degradation Curve'!$C$8,IF(13=1,'Degradation Curve'!$C$5,IF(13&lt;='Degradation Curve'!$C$7,'Degradation Curve'!$C$6,'Degradation Curve'!$C$8)))</f>
        <v>1.7000000000000001E-2</v>
      </c>
      <c r="Q11" s="16">
        <f>IF(Q10=1,'Degradation Curve'!$C$8,IF(14=1,'Degradation Curve'!$C$5,IF(14&lt;='Degradation Curve'!$C$7,'Degradation Curve'!$C$6,'Degradation Curve'!$C$8)))</f>
        <v>1.7000000000000001E-2</v>
      </c>
      <c r="R11" s="16">
        <f>IF(R10=1,'Degradation Curve'!$C$8,IF(15=1,'Degradation Curve'!$C$5,IF(15&lt;='Degradation Curve'!$C$7,'Degradation Curve'!$C$6,'Degradation Curve'!$C$8)))</f>
        <v>1.7000000000000001E-2</v>
      </c>
    </row>
    <row r="12" spans="1:18" x14ac:dyDescent="0.25">
      <c r="A12" s="10" t="s">
        <v>339</v>
      </c>
      <c r="C12" s="45">
        <v>0</v>
      </c>
      <c r="D12" s="45">
        <f t="shared" ref="D12:R12" si="2">D9*D11</f>
        <v>17.5</v>
      </c>
      <c r="E12" s="45">
        <f t="shared" si="2"/>
        <v>9.65</v>
      </c>
      <c r="F12" s="45">
        <f t="shared" si="2"/>
        <v>9.4570000000000007</v>
      </c>
      <c r="G12" s="45">
        <f t="shared" si="2"/>
        <v>9.2678600000000007</v>
      </c>
      <c r="H12" s="45">
        <f t="shared" si="2"/>
        <v>7.720127380000001</v>
      </c>
      <c r="I12" s="45">
        <f t="shared" si="2"/>
        <v>7.5888852145400012</v>
      </c>
      <c r="J12" s="45">
        <f t="shared" si="2"/>
        <v>7.4598741658928205</v>
      </c>
      <c r="K12" s="45">
        <f t="shared" si="2"/>
        <v>7.3330563050726427</v>
      </c>
      <c r="L12" s="45">
        <f t="shared" si="2"/>
        <v>8.5</v>
      </c>
      <c r="M12" s="45">
        <f t="shared" si="2"/>
        <v>8.355500000000001</v>
      </c>
      <c r="N12" s="45">
        <f t="shared" si="2"/>
        <v>8.2134565000000013</v>
      </c>
      <c r="O12" s="45">
        <f t="shared" si="2"/>
        <v>8.0738277395000004</v>
      </c>
      <c r="P12" s="45">
        <f t="shared" si="2"/>
        <v>7.9365726679285</v>
      </c>
      <c r="Q12" s="45">
        <f t="shared" si="2"/>
        <v>7.8016509325737156</v>
      </c>
      <c r="R12" s="45">
        <f t="shared" si="2"/>
        <v>7.6690228667199634</v>
      </c>
    </row>
    <row r="13" spans="1:18" x14ac:dyDescent="0.25">
      <c r="A13" s="10" t="s">
        <v>340</v>
      </c>
      <c r="C13" s="45">
        <f>C9</f>
        <v>500</v>
      </c>
      <c r="D13" s="45">
        <f t="shared" ref="D13:R13" si="3">D9-D12</f>
        <v>482.5</v>
      </c>
      <c r="E13" s="45">
        <f t="shared" si="3"/>
        <v>472.85</v>
      </c>
      <c r="F13" s="45">
        <f t="shared" si="3"/>
        <v>463.39300000000003</v>
      </c>
      <c r="G13" s="45">
        <f t="shared" si="3"/>
        <v>454.12514000000004</v>
      </c>
      <c r="H13" s="45">
        <f t="shared" si="3"/>
        <v>446.40501262000004</v>
      </c>
      <c r="I13" s="45">
        <f t="shared" si="3"/>
        <v>438.81612740546001</v>
      </c>
      <c r="J13" s="45">
        <f t="shared" si="3"/>
        <v>431.3562532395672</v>
      </c>
      <c r="K13" s="45">
        <f t="shared" si="3"/>
        <v>424.02319693449454</v>
      </c>
      <c r="L13" s="45">
        <f t="shared" si="3"/>
        <v>491.5</v>
      </c>
      <c r="M13" s="45">
        <f t="shared" si="3"/>
        <v>483.14449999999999</v>
      </c>
      <c r="N13" s="45">
        <f t="shared" si="3"/>
        <v>474.93104349999999</v>
      </c>
      <c r="O13" s="45">
        <f t="shared" si="3"/>
        <v>466.85721576049997</v>
      </c>
      <c r="P13" s="45">
        <f t="shared" si="3"/>
        <v>458.92064309257148</v>
      </c>
      <c r="Q13" s="45">
        <f t="shared" si="3"/>
        <v>451.11899215999779</v>
      </c>
      <c r="R13" s="45">
        <f t="shared" si="3"/>
        <v>443.44996929327783</v>
      </c>
    </row>
    <row r="14" spans="1:18" x14ac:dyDescent="0.25">
      <c r="A14" s="8" t="s">
        <v>341</v>
      </c>
      <c r="C14" s="47">
        <v>0</v>
      </c>
      <c r="D14" s="47">
        <f t="shared" ref="D14:R14" si="4">IF(D13&lt;D7,1,0)</f>
        <v>0</v>
      </c>
      <c r="E14" s="47">
        <f t="shared" si="4"/>
        <v>0</v>
      </c>
      <c r="F14" s="47">
        <f t="shared" si="4"/>
        <v>0</v>
      </c>
      <c r="G14" s="47">
        <f t="shared" si="4"/>
        <v>0</v>
      </c>
      <c r="H14" s="47">
        <f t="shared" si="4"/>
        <v>0</v>
      </c>
      <c r="I14" s="47">
        <f t="shared" si="4"/>
        <v>0</v>
      </c>
      <c r="J14" s="47">
        <f t="shared" si="4"/>
        <v>0</v>
      </c>
      <c r="K14" s="47">
        <f t="shared" si="4"/>
        <v>1</v>
      </c>
      <c r="L14" s="47">
        <f t="shared" si="4"/>
        <v>0</v>
      </c>
      <c r="M14" s="47">
        <f t="shared" si="4"/>
        <v>0</v>
      </c>
      <c r="N14" s="47">
        <f t="shared" si="4"/>
        <v>0</v>
      </c>
      <c r="O14" s="47">
        <f t="shared" si="4"/>
        <v>0</v>
      </c>
      <c r="P14" s="47">
        <f t="shared" si="4"/>
        <v>0</v>
      </c>
      <c r="Q14" s="47">
        <f t="shared" si="4"/>
        <v>0</v>
      </c>
      <c r="R14" s="47">
        <f t="shared" si="4"/>
        <v>0</v>
      </c>
    </row>
    <row r="15" spans="1:18" x14ac:dyDescent="0.25">
      <c r="A15" s="10" t="s">
        <v>342</v>
      </c>
      <c r="C15" s="45">
        <v>0</v>
      </c>
      <c r="D15" s="45">
        <f>IF(D14=1,Assumptions!$C$8-D13,0)</f>
        <v>0</v>
      </c>
      <c r="E15" s="45">
        <f>IF(E14=1,Assumptions!$C$8-E13,0)</f>
        <v>0</v>
      </c>
      <c r="F15" s="45">
        <f>IF(F14=1,Assumptions!$C$8-F13,0)</f>
        <v>0</v>
      </c>
      <c r="G15" s="45">
        <f>IF(G14=1,Assumptions!$C$8-G13,0)</f>
        <v>0</v>
      </c>
      <c r="H15" s="45">
        <f>IF(H14=1,Assumptions!$C$8-H13,0)</f>
        <v>0</v>
      </c>
      <c r="I15" s="45">
        <f>IF(I14=1,Assumptions!$C$8-I13,0)</f>
        <v>0</v>
      </c>
      <c r="J15" s="45">
        <f>IF(J14=1,Assumptions!$C$8-J13,0)</f>
        <v>0</v>
      </c>
      <c r="K15" s="45">
        <f>IF(K14=1,Assumptions!$C$8-K13,0)</f>
        <v>75.976803065505464</v>
      </c>
      <c r="L15" s="45">
        <f>IF(L14=1,Assumptions!$C$8-L13,0)</f>
        <v>0</v>
      </c>
      <c r="M15" s="45">
        <f>IF(M14=1,Assumptions!$C$8-M13,0)</f>
        <v>0</v>
      </c>
      <c r="N15" s="45">
        <f>IF(N14=1,Assumptions!$C$8-N13,0)</f>
        <v>0</v>
      </c>
      <c r="O15" s="45">
        <f>IF(O14=1,Assumptions!$C$8-O13,0)</f>
        <v>0</v>
      </c>
      <c r="P15" s="45">
        <f>IF(P14=1,Assumptions!$C$8-P13,0)</f>
        <v>0</v>
      </c>
      <c r="Q15" s="45">
        <f>IF(Q14=1,Assumptions!$C$8-Q13,0)</f>
        <v>0</v>
      </c>
      <c r="R15" s="45">
        <f>IF(R14=1,Assumptions!$C$8-R13,0)</f>
        <v>0</v>
      </c>
    </row>
    <row r="16" spans="1:18" x14ac:dyDescent="0.25">
      <c r="A16" s="8" t="s">
        <v>343</v>
      </c>
      <c r="C16" s="48">
        <f>C13</f>
        <v>500</v>
      </c>
      <c r="D16" s="48">
        <f t="shared" ref="D16:R16" si="5">D13+D15</f>
        <v>482.5</v>
      </c>
      <c r="E16" s="48">
        <f t="shared" si="5"/>
        <v>472.85</v>
      </c>
      <c r="F16" s="48">
        <f t="shared" si="5"/>
        <v>463.39300000000003</v>
      </c>
      <c r="G16" s="48">
        <f t="shared" si="5"/>
        <v>454.12514000000004</v>
      </c>
      <c r="H16" s="48">
        <f t="shared" si="5"/>
        <v>446.40501262000004</v>
      </c>
      <c r="I16" s="48">
        <f t="shared" si="5"/>
        <v>438.81612740546001</v>
      </c>
      <c r="J16" s="48">
        <f t="shared" si="5"/>
        <v>431.3562532395672</v>
      </c>
      <c r="K16" s="48">
        <f t="shared" si="5"/>
        <v>500</v>
      </c>
      <c r="L16" s="48">
        <f t="shared" si="5"/>
        <v>491.5</v>
      </c>
      <c r="M16" s="48">
        <f t="shared" si="5"/>
        <v>483.14449999999999</v>
      </c>
      <c r="N16" s="48">
        <f t="shared" si="5"/>
        <v>474.93104349999999</v>
      </c>
      <c r="O16" s="48">
        <f t="shared" si="5"/>
        <v>466.85721576049997</v>
      </c>
      <c r="P16" s="48">
        <f t="shared" si="5"/>
        <v>458.92064309257148</v>
      </c>
      <c r="Q16" s="48">
        <f t="shared" si="5"/>
        <v>451.11899215999779</v>
      </c>
      <c r="R16" s="48">
        <f t="shared" si="5"/>
        <v>443.44996929327783</v>
      </c>
    </row>
    <row r="17" spans="1:18" x14ac:dyDescent="0.25">
      <c r="A17" s="10" t="s">
        <v>344</v>
      </c>
      <c r="C17" s="49">
        <f>Assumptions!$C$12*Assumptions!$C$55</f>
        <v>4.6750000000000007</v>
      </c>
      <c r="D17" s="49">
        <f>Assumptions!$C$12*Assumptions!$C$55</f>
        <v>4.6750000000000007</v>
      </c>
      <c r="E17" s="49">
        <f>Assumptions!$C$12*Assumptions!$C$55</f>
        <v>4.6750000000000007</v>
      </c>
      <c r="F17" s="49">
        <f>Assumptions!$C$12*Assumptions!$C$55</f>
        <v>4.6750000000000007</v>
      </c>
      <c r="G17" s="49">
        <f>Assumptions!$C$12*Assumptions!$C$55</f>
        <v>4.6750000000000007</v>
      </c>
      <c r="H17" s="49">
        <f>Assumptions!$C$12*Assumptions!$C$55</f>
        <v>4.6750000000000007</v>
      </c>
      <c r="I17" s="49">
        <f>Assumptions!$C$12*Assumptions!$C$55</f>
        <v>4.6750000000000007</v>
      </c>
      <c r="J17" s="49">
        <f>Assumptions!$C$12*Assumptions!$C$55</f>
        <v>4.6750000000000007</v>
      </c>
      <c r="K17" s="49">
        <f>Assumptions!$C$12*Assumptions!$C$55</f>
        <v>4.6750000000000007</v>
      </c>
      <c r="L17" s="49">
        <f>Assumptions!$C$12*Assumptions!$C$55</f>
        <v>4.6750000000000007</v>
      </c>
      <c r="M17" s="49">
        <f>Assumptions!$C$12*Assumptions!$C$55</f>
        <v>4.6750000000000007</v>
      </c>
      <c r="N17" s="49">
        <f>Assumptions!$C$12*Assumptions!$C$55</f>
        <v>4.6750000000000007</v>
      </c>
      <c r="O17" s="49">
        <f>Assumptions!$C$12*Assumptions!$C$55</f>
        <v>4.6750000000000007</v>
      </c>
      <c r="P17" s="49">
        <f>Assumptions!$C$12*Assumptions!$C$55</f>
        <v>4.6750000000000007</v>
      </c>
      <c r="Q17" s="49">
        <f>Assumptions!$C$12*Assumptions!$C$55</f>
        <v>4.6750000000000007</v>
      </c>
      <c r="R17" s="49">
        <f>Assumptions!$C$12*Assumptions!$C$55</f>
        <v>4.6750000000000007</v>
      </c>
    </row>
    <row r="18" spans="1:18" x14ac:dyDescent="0.25">
      <c r="A18" s="8" t="s">
        <v>345</v>
      </c>
      <c r="C18" s="32">
        <v>0</v>
      </c>
      <c r="D18" s="32">
        <f t="shared" ref="D18:R18" si="6">D15*D17</f>
        <v>0</v>
      </c>
      <c r="E18" s="32">
        <f t="shared" si="6"/>
        <v>0</v>
      </c>
      <c r="F18" s="32">
        <f t="shared" si="6"/>
        <v>0</v>
      </c>
      <c r="G18" s="32">
        <f t="shared" si="6"/>
        <v>0</v>
      </c>
      <c r="H18" s="32">
        <f t="shared" si="6"/>
        <v>0</v>
      </c>
      <c r="I18" s="32">
        <f t="shared" si="6"/>
        <v>0</v>
      </c>
      <c r="J18" s="32">
        <f t="shared" si="6"/>
        <v>0</v>
      </c>
      <c r="K18" s="32">
        <f t="shared" si="6"/>
        <v>355.19155433123808</v>
      </c>
      <c r="L18" s="32">
        <f t="shared" si="6"/>
        <v>0</v>
      </c>
      <c r="M18" s="32">
        <f t="shared" si="6"/>
        <v>0</v>
      </c>
      <c r="N18" s="32">
        <f t="shared" si="6"/>
        <v>0</v>
      </c>
      <c r="O18" s="32">
        <f t="shared" si="6"/>
        <v>0</v>
      </c>
      <c r="P18" s="32">
        <f t="shared" si="6"/>
        <v>0</v>
      </c>
      <c r="Q18" s="32">
        <f t="shared" si="6"/>
        <v>0</v>
      </c>
      <c r="R18" s="32">
        <f t="shared" si="6"/>
        <v>0</v>
      </c>
    </row>
    <row r="19" spans="1:18" x14ac:dyDescent="0.25">
      <c r="A19" s="8" t="s">
        <v>346</v>
      </c>
      <c r="C19" s="32">
        <v>0</v>
      </c>
      <c r="D19" s="32">
        <f t="shared" ref="D19:R19" si="7">C19+D18</f>
        <v>0</v>
      </c>
      <c r="E19" s="32">
        <f t="shared" si="7"/>
        <v>0</v>
      </c>
      <c r="F19" s="32">
        <f t="shared" si="7"/>
        <v>0</v>
      </c>
      <c r="G19" s="32">
        <f t="shared" si="7"/>
        <v>0</v>
      </c>
      <c r="H19" s="32">
        <f t="shared" si="7"/>
        <v>0</v>
      </c>
      <c r="I19" s="32">
        <f t="shared" si="7"/>
        <v>0</v>
      </c>
      <c r="J19" s="32">
        <f t="shared" si="7"/>
        <v>0</v>
      </c>
      <c r="K19" s="32">
        <f t="shared" si="7"/>
        <v>355.19155433123808</v>
      </c>
      <c r="L19" s="32">
        <f t="shared" si="7"/>
        <v>355.19155433123808</v>
      </c>
      <c r="M19" s="32">
        <f t="shared" si="7"/>
        <v>355.19155433123808</v>
      </c>
      <c r="N19" s="32">
        <f t="shared" si="7"/>
        <v>355.19155433123808</v>
      </c>
      <c r="O19" s="32">
        <f t="shared" si="7"/>
        <v>355.19155433123808</v>
      </c>
      <c r="P19" s="32">
        <f t="shared" si="7"/>
        <v>355.19155433123808</v>
      </c>
      <c r="Q19" s="32">
        <f t="shared" si="7"/>
        <v>355.19155433123808</v>
      </c>
      <c r="R19" s="32">
        <f t="shared" si="7"/>
        <v>355.19155433123808</v>
      </c>
    </row>
    <row r="21" spans="1:18" x14ac:dyDescent="0.25">
      <c r="A21" s="10" t="s">
        <v>347</v>
      </c>
      <c r="C21" s="11">
        <f>C16/Assumptions!$C$8</f>
        <v>1</v>
      </c>
      <c r="D21" s="11">
        <f>D16/Assumptions!$C$8</f>
        <v>0.96499999999999997</v>
      </c>
      <c r="E21" s="11">
        <f>E16/Assumptions!$C$8</f>
        <v>0.9457000000000001</v>
      </c>
      <c r="F21" s="11">
        <f>F16/Assumptions!$C$8</f>
        <v>0.92678600000000011</v>
      </c>
      <c r="G21" s="11">
        <f>G16/Assumptions!$C$8</f>
        <v>0.90825028000000008</v>
      </c>
      <c r="H21" s="11">
        <f>H16/Assumptions!$C$8</f>
        <v>0.89281002524000008</v>
      </c>
      <c r="I21" s="11">
        <f>I16/Assumptions!$C$8</f>
        <v>0.87763225481092</v>
      </c>
      <c r="J21" s="11">
        <f>J16/Assumptions!$C$8</f>
        <v>0.86271250647913444</v>
      </c>
      <c r="K21" s="11">
        <f>K16/Assumptions!$C$8</f>
        <v>1</v>
      </c>
      <c r="L21" s="11">
        <f>L16/Assumptions!$C$8</f>
        <v>0.98299999999999998</v>
      </c>
      <c r="M21" s="11">
        <f>M16/Assumptions!$C$8</f>
        <v>0.96628899999999995</v>
      </c>
      <c r="N21" s="11">
        <f>N16/Assumptions!$C$8</f>
        <v>0.94986208699999997</v>
      </c>
      <c r="O21" s="11">
        <f>O16/Assumptions!$C$8</f>
        <v>0.93371443152099998</v>
      </c>
      <c r="P21" s="11">
        <f>P16/Assumptions!$C$8</f>
        <v>0.91784128618514293</v>
      </c>
      <c r="Q21" s="11">
        <f>Q16/Assumptions!$C$8</f>
        <v>0.90223798431999558</v>
      </c>
      <c r="R21" s="11">
        <f>R16/Assumptions!$C$8</f>
        <v>0.88689993858655569</v>
      </c>
    </row>
    <row r="23" spans="1:18" ht="18" customHeight="1" x14ac:dyDescent="0.25">
      <c r="A23" s="6" t="s">
        <v>348</v>
      </c>
      <c r="B23" s="7"/>
      <c r="C23" s="7"/>
      <c r="D23" s="7"/>
    </row>
    <row r="24" spans="1:18" x14ac:dyDescent="0.25">
      <c r="A24" s="13" t="s">
        <v>349</v>
      </c>
    </row>
    <row r="25" spans="1:18" x14ac:dyDescent="0.25">
      <c r="A25" s="10" t="s">
        <v>350</v>
      </c>
      <c r="C25" s="16">
        <v>0</v>
      </c>
      <c r="D25" s="16">
        <f>D11*(1+Assumptions!$C$59)</f>
        <v>4.2000000000000003E-2</v>
      </c>
      <c r="E25" s="16">
        <f>E11*(1+Assumptions!$C$59)</f>
        <v>2.4E-2</v>
      </c>
      <c r="F25" s="16">
        <f>F11*(1+Assumptions!$C$59)</f>
        <v>2.4E-2</v>
      </c>
      <c r="G25" s="16">
        <f>G11*(1+Assumptions!$C$59)</f>
        <v>2.4E-2</v>
      </c>
      <c r="H25" s="16">
        <f>H11*(1+Assumptions!$C$59)</f>
        <v>2.0400000000000001E-2</v>
      </c>
      <c r="I25" s="16">
        <f>I11*(1+Assumptions!$C$59)</f>
        <v>2.0400000000000001E-2</v>
      </c>
      <c r="J25" s="16">
        <f>J11*(1+Assumptions!$C$59)</f>
        <v>2.0400000000000001E-2</v>
      </c>
      <c r="K25" s="16">
        <f>K11*(1+Assumptions!$C$59)</f>
        <v>2.0400000000000001E-2</v>
      </c>
      <c r="L25" s="16">
        <f>L11*(1+Assumptions!$C$59)</f>
        <v>2.0400000000000001E-2</v>
      </c>
      <c r="M25" s="16">
        <f>M11*(1+Assumptions!$C$59)</f>
        <v>2.0400000000000001E-2</v>
      </c>
      <c r="N25" s="16">
        <f>N11*(1+Assumptions!$C$59)</f>
        <v>2.0400000000000001E-2</v>
      </c>
      <c r="O25" s="16">
        <f>O11*(1+Assumptions!$C$59)</f>
        <v>2.0400000000000001E-2</v>
      </c>
      <c r="P25" s="16">
        <f>P11*(1+Assumptions!$C$59)</f>
        <v>2.0400000000000001E-2</v>
      </c>
      <c r="Q25" s="16">
        <f>Q11*(1+Assumptions!$C$59)</f>
        <v>2.0400000000000001E-2</v>
      </c>
      <c r="R25" s="16">
        <f>R11*(1+Assumptions!$C$59)</f>
        <v>2.0400000000000001E-2</v>
      </c>
    </row>
    <row r="26" spans="1:18" x14ac:dyDescent="0.25">
      <c r="A26" s="10" t="s">
        <v>351</v>
      </c>
      <c r="C26" s="45">
        <f>Assumptions!$C$8</f>
        <v>500</v>
      </c>
      <c r="D26" s="45">
        <f>C28+(C29*(Assumptions!$C$8-C28))</f>
        <v>500</v>
      </c>
      <c r="E26" s="45">
        <f>D28+(D29*(Assumptions!$C$8-D28))</f>
        <v>479</v>
      </c>
      <c r="F26" s="45">
        <f>E28+(E29*(Assumptions!$C$8-E28))</f>
        <v>467.50400000000002</v>
      </c>
      <c r="G26" s="45">
        <f>F28+(F29*(Assumptions!$C$8-F28))</f>
        <v>456.28390400000001</v>
      </c>
      <c r="H26" s="45">
        <f>G28+(G29*(Assumptions!$C$8-G28))</f>
        <v>445.333090304</v>
      </c>
      <c r="I26" s="45">
        <f>H28+(H29*(Assumptions!$C$8-H28))</f>
        <v>436.24829526179838</v>
      </c>
      <c r="J26" s="45">
        <f>I28+(I29*(Assumptions!$C$8-I28))</f>
        <v>500</v>
      </c>
      <c r="K26" s="45">
        <f>J28+(J29*(Assumptions!$C$8-J28))</f>
        <v>489.8</v>
      </c>
      <c r="L26" s="45">
        <f>K28+(K29*(Assumptions!$C$8-K28))</f>
        <v>479.80808000000002</v>
      </c>
      <c r="M26" s="45">
        <f>L28+(L29*(Assumptions!$C$8-L28))</f>
        <v>470.01999516800004</v>
      </c>
      <c r="N26" s="45">
        <f>M28+(M29*(Assumptions!$C$8-M28))</f>
        <v>460.43158726657282</v>
      </c>
      <c r="O26" s="45">
        <f>N28+(N29*(Assumptions!$C$8-N28))</f>
        <v>451.03878288633473</v>
      </c>
      <c r="P26" s="45">
        <f>O28+(O29*(Assumptions!$C$8-O28))</f>
        <v>441.83759171545353</v>
      </c>
      <c r="Q26" s="45">
        <f>P28+(P29*(Assumptions!$C$8-P28))</f>
        <v>432.82410484445825</v>
      </c>
      <c r="R26" s="45">
        <f>Q28+(Q29*(Assumptions!$C$8-Q28))</f>
        <v>423.99449310563131</v>
      </c>
    </row>
    <row r="27" spans="1:18" x14ac:dyDescent="0.25">
      <c r="A27" s="10" t="s">
        <v>352</v>
      </c>
      <c r="C27" s="45">
        <v>0</v>
      </c>
      <c r="D27" s="45">
        <f t="shared" ref="D27:R27" si="8">D26*D25</f>
        <v>21</v>
      </c>
      <c r="E27" s="45">
        <f t="shared" si="8"/>
        <v>11.496</v>
      </c>
      <c r="F27" s="45">
        <f t="shared" si="8"/>
        <v>11.220096</v>
      </c>
      <c r="G27" s="45">
        <f t="shared" si="8"/>
        <v>10.950813696000001</v>
      </c>
      <c r="H27" s="45">
        <f t="shared" si="8"/>
        <v>9.0847950422016002</v>
      </c>
      <c r="I27" s="45">
        <f t="shared" si="8"/>
        <v>8.8994652233406875</v>
      </c>
      <c r="J27" s="45">
        <f t="shared" si="8"/>
        <v>10.200000000000001</v>
      </c>
      <c r="K27" s="45">
        <f t="shared" si="8"/>
        <v>9.9919200000000004</v>
      </c>
      <c r="L27" s="45">
        <f t="shared" si="8"/>
        <v>9.7880848320000009</v>
      </c>
      <c r="M27" s="45">
        <f t="shared" si="8"/>
        <v>9.5884079014272015</v>
      </c>
      <c r="N27" s="45">
        <f t="shared" si="8"/>
        <v>9.3928043802380863</v>
      </c>
      <c r="O27" s="45">
        <f t="shared" si="8"/>
        <v>9.2011911708812288</v>
      </c>
      <c r="P27" s="45">
        <f t="shared" si="8"/>
        <v>9.0134868709952531</v>
      </c>
      <c r="Q27" s="45">
        <f t="shared" si="8"/>
        <v>8.8296117388269497</v>
      </c>
      <c r="R27" s="45">
        <f t="shared" si="8"/>
        <v>8.6494876593548788</v>
      </c>
    </row>
    <row r="28" spans="1:18" x14ac:dyDescent="0.25">
      <c r="A28" s="10" t="s">
        <v>353</v>
      </c>
      <c r="C28" s="45">
        <f>C26</f>
        <v>500</v>
      </c>
      <c r="D28" s="45">
        <f t="shared" ref="D28:R28" si="9">D26-D27</f>
        <v>479</v>
      </c>
      <c r="E28" s="45">
        <f t="shared" si="9"/>
        <v>467.50400000000002</v>
      </c>
      <c r="F28" s="45">
        <f t="shared" si="9"/>
        <v>456.28390400000001</v>
      </c>
      <c r="G28" s="45">
        <f t="shared" si="9"/>
        <v>445.333090304</v>
      </c>
      <c r="H28" s="45">
        <f t="shared" si="9"/>
        <v>436.24829526179838</v>
      </c>
      <c r="I28" s="45">
        <f t="shared" si="9"/>
        <v>427.34883003845766</v>
      </c>
      <c r="J28" s="45">
        <f t="shared" si="9"/>
        <v>489.8</v>
      </c>
      <c r="K28" s="45">
        <f t="shared" si="9"/>
        <v>479.80808000000002</v>
      </c>
      <c r="L28" s="45">
        <f t="shared" si="9"/>
        <v>470.01999516800004</v>
      </c>
      <c r="M28" s="45">
        <f t="shared" si="9"/>
        <v>460.43158726657282</v>
      </c>
      <c r="N28" s="45">
        <f t="shared" si="9"/>
        <v>451.03878288633473</v>
      </c>
      <c r="O28" s="45">
        <f t="shared" si="9"/>
        <v>441.83759171545353</v>
      </c>
      <c r="P28" s="45">
        <f t="shared" si="9"/>
        <v>432.82410484445825</v>
      </c>
      <c r="Q28" s="45">
        <f t="shared" si="9"/>
        <v>423.99449310563131</v>
      </c>
      <c r="R28" s="45">
        <f t="shared" si="9"/>
        <v>415.34500544627645</v>
      </c>
    </row>
    <row r="29" spans="1:18" x14ac:dyDescent="0.25">
      <c r="A29" s="8" t="s">
        <v>354</v>
      </c>
      <c r="C29" s="47">
        <v>0</v>
      </c>
      <c r="D29" s="47">
        <f t="shared" ref="D29:R29" si="10">IF(D28&lt;D7,1,0)</f>
        <v>0</v>
      </c>
      <c r="E29" s="47">
        <f t="shared" si="10"/>
        <v>0</v>
      </c>
      <c r="F29" s="47">
        <f t="shared" si="10"/>
        <v>0</v>
      </c>
      <c r="G29" s="47">
        <f t="shared" si="10"/>
        <v>0</v>
      </c>
      <c r="H29" s="47">
        <f t="shared" si="10"/>
        <v>0</v>
      </c>
      <c r="I29" s="47">
        <f t="shared" si="10"/>
        <v>1</v>
      </c>
      <c r="J29" s="47">
        <f t="shared" si="10"/>
        <v>0</v>
      </c>
      <c r="K29" s="47">
        <f t="shared" si="10"/>
        <v>0</v>
      </c>
      <c r="L29" s="47">
        <f t="shared" si="10"/>
        <v>0</v>
      </c>
      <c r="M29" s="47">
        <f t="shared" si="10"/>
        <v>0</v>
      </c>
      <c r="N29" s="47">
        <f t="shared" si="10"/>
        <v>0</v>
      </c>
      <c r="O29" s="47">
        <f t="shared" si="10"/>
        <v>0</v>
      </c>
      <c r="P29" s="47">
        <f t="shared" si="10"/>
        <v>0</v>
      </c>
      <c r="Q29" s="47">
        <f t="shared" si="10"/>
        <v>0</v>
      </c>
      <c r="R29" s="47">
        <f t="shared" si="10"/>
        <v>0</v>
      </c>
    </row>
    <row r="30" spans="1:18" x14ac:dyDescent="0.25">
      <c r="A30" s="10" t="s">
        <v>355</v>
      </c>
      <c r="C30" s="16">
        <v>1</v>
      </c>
      <c r="D30" s="16">
        <f>IF(D29=1,1,D28/Assumptions!$C$8)</f>
        <v>0.95799999999999996</v>
      </c>
      <c r="E30" s="16">
        <f>IF(E29=1,1,E28/Assumptions!$C$8)</f>
        <v>0.93500800000000006</v>
      </c>
      <c r="F30" s="16">
        <f>IF(F29=1,1,F28/Assumptions!$C$8)</f>
        <v>0.91256780800000004</v>
      </c>
      <c r="G30" s="16">
        <f>IF(G29=1,1,G28/Assumptions!$C$8)</f>
        <v>0.89066618060799996</v>
      </c>
      <c r="H30" s="16">
        <f>IF(H29=1,1,H28/Assumptions!$C$8)</f>
        <v>0.87249659052359674</v>
      </c>
      <c r="I30" s="16">
        <f>IF(I29=1,1,I28/Assumptions!$C$8)</f>
        <v>1</v>
      </c>
      <c r="J30" s="16">
        <f>IF(J29=1,1,J28/Assumptions!$C$8)</f>
        <v>0.97960000000000003</v>
      </c>
      <c r="K30" s="16">
        <f>IF(K29=1,1,K28/Assumptions!$C$8)</f>
        <v>0.95961616000000005</v>
      </c>
      <c r="L30" s="16">
        <f>IF(L29=1,1,L28/Assumptions!$C$8)</f>
        <v>0.94003999033600005</v>
      </c>
      <c r="M30" s="16">
        <f>IF(M29=1,1,M28/Assumptions!$C$8)</f>
        <v>0.92086317453314559</v>
      </c>
      <c r="N30" s="16">
        <f>IF(N29=1,1,N28/Assumptions!$C$8)</f>
        <v>0.90207756577266951</v>
      </c>
      <c r="O30" s="16">
        <f>IF(O29=1,1,O28/Assumptions!$C$8)</f>
        <v>0.88367518343090701</v>
      </c>
      <c r="P30" s="16">
        <f>IF(P29=1,1,P28/Assumptions!$C$8)</f>
        <v>0.86564820968891654</v>
      </c>
      <c r="Q30" s="16">
        <f>IF(Q29=1,1,Q28/Assumptions!$C$8)</f>
        <v>0.84798898621126262</v>
      </c>
      <c r="R30" s="16">
        <f>IF(R29=1,1,R28/Assumptions!$C$8)</f>
        <v>0.8306900108925529</v>
      </c>
    </row>
    <row r="31" spans="1:18" x14ac:dyDescent="0.25">
      <c r="A31" s="10" t="s">
        <v>356</v>
      </c>
      <c r="C31" s="45">
        <v>0</v>
      </c>
      <c r="D31" s="45">
        <f>Assumptions!$C$7*MAX(0,D21-D30)</f>
        <v>1.7500000000000016</v>
      </c>
      <c r="E31" s="45">
        <f>Assumptions!$C$7*MAX(0,E21-E30)</f>
        <v>2.6730000000000089</v>
      </c>
      <c r="F31" s="45">
        <f>Assumptions!$C$7*MAX(0,F21-F30)</f>
        <v>3.5545480000000182</v>
      </c>
      <c r="G31" s="45">
        <f>Assumptions!$C$7*MAX(0,G21-G30)</f>
        <v>4.3960248480000299</v>
      </c>
      <c r="H31" s="45">
        <f>Assumptions!$C$7*MAX(0,H21-H30)</f>
        <v>5.0783586791008357</v>
      </c>
      <c r="I31" s="45">
        <f>Assumptions!$C$7*MAX(0,I21-I30)</f>
        <v>0</v>
      </c>
      <c r="J31" s="45">
        <f>Assumptions!$C$7*MAX(0,J21-J30)</f>
        <v>0</v>
      </c>
      <c r="K31" s="45">
        <f>Assumptions!$C$7*MAX(0,K21-K30)</f>
        <v>10.095959999999987</v>
      </c>
      <c r="L31" s="45">
        <f>Assumptions!$C$7*MAX(0,L21-L30)</f>
        <v>10.740002415999983</v>
      </c>
      <c r="M31" s="45">
        <f>Assumptions!$C$7*MAX(0,M21-M30)</f>
        <v>11.356456366713591</v>
      </c>
      <c r="N31" s="45">
        <f>Assumptions!$C$7*MAX(0,N21-N30)</f>
        <v>11.946130306832615</v>
      </c>
      <c r="O31" s="45">
        <f>Assumptions!$C$7*MAX(0,O21-O30)</f>
        <v>12.509812022523242</v>
      </c>
      <c r="P31" s="45">
        <f>Assumptions!$C$7*MAX(0,P21-P30)</f>
        <v>13.048269124056599</v>
      </c>
      <c r="Q31" s="45">
        <f>Assumptions!$C$7*MAX(0,Q21-Q30)</f>
        <v>13.562249527183241</v>
      </c>
      <c r="R31" s="45">
        <f>Assumptions!$C$7*MAX(0,R21-R30)</f>
        <v>14.052481923500698</v>
      </c>
    </row>
    <row r="32" spans="1:18" x14ac:dyDescent="0.25">
      <c r="A32" s="8" t="s">
        <v>357</v>
      </c>
      <c r="C32" s="32">
        <v>0</v>
      </c>
      <c r="D32" s="32">
        <f>D31*Assumptions!$C$77*Assumptions!$C$58</f>
        <v>23.100000000000019</v>
      </c>
      <c r="E32" s="32">
        <f>E31*Assumptions!$C$77*Assumptions!$C$58</f>
        <v>35.283600000000114</v>
      </c>
      <c r="F32" s="32">
        <f>F31*Assumptions!$C$77*Assumptions!$C$58</f>
        <v>46.920033600000238</v>
      </c>
      <c r="G32" s="32">
        <f>G31*Assumptions!$C$77*Assumptions!$C$58</f>
        <v>58.027527993600394</v>
      </c>
      <c r="H32" s="32">
        <f>H31*Assumptions!$C$77*Assumptions!$C$58</f>
        <v>67.034334564131029</v>
      </c>
      <c r="I32" s="32">
        <f>I31*Assumptions!$C$77*Assumptions!$C$58</f>
        <v>0</v>
      </c>
      <c r="J32" s="32">
        <f>J31*Assumptions!$C$77*Assumptions!$C$58</f>
        <v>0</v>
      </c>
      <c r="K32" s="32">
        <f>K31*Assumptions!$C$77*Assumptions!$C$58</f>
        <v>133.26667199999983</v>
      </c>
      <c r="L32" s="32">
        <f>L31*Assumptions!$C$77*Assumptions!$C$58</f>
        <v>141.76803189119977</v>
      </c>
      <c r="M32" s="32">
        <f>M31*Assumptions!$C$77*Assumptions!$C$58</f>
        <v>149.9052240406194</v>
      </c>
      <c r="N32" s="32">
        <f>N31*Assumptions!$C$77*Assumptions!$C$58</f>
        <v>157.68892005019052</v>
      </c>
      <c r="O32" s="32">
        <f>O31*Assumptions!$C$77*Assumptions!$C$58</f>
        <v>165.12951869730679</v>
      </c>
      <c r="P32" s="32">
        <f>P31*Assumptions!$C$77*Assumptions!$C$58</f>
        <v>172.23715243754711</v>
      </c>
      <c r="Q32" s="32">
        <f>Q31*Assumptions!$C$77*Assumptions!$C$58</f>
        <v>179.02169375881877</v>
      </c>
      <c r="R32" s="32">
        <f>R31*Assumptions!$C$77*Assumptions!$C$58</f>
        <v>185.49276139020921</v>
      </c>
    </row>
    <row r="33" spans="1:3" x14ac:dyDescent="0.25">
      <c r="A33" s="8" t="s">
        <v>358</v>
      </c>
      <c r="C33" s="50">
        <f>SUM(D32:R32)</f>
        <v>1514.8754704236233</v>
      </c>
    </row>
    <row r="34" spans="1:3" x14ac:dyDescent="0.25">
      <c r="A34" s="8" t="s">
        <v>359</v>
      </c>
      <c r="C34" s="50">
        <f>MAX(D32:R32)</f>
        <v>185.49276139020921</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48235"/>
  </sheetPr>
  <dimension ref="A1:R11"/>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505</v>
      </c>
      <c r="B1" s="66"/>
      <c r="C1" s="66"/>
      <c r="D1" s="66"/>
      <c r="E1" s="66"/>
      <c r="F1" s="66"/>
      <c r="G1" s="66"/>
      <c r="H1" s="66"/>
      <c r="I1" s="66"/>
      <c r="J1" s="66"/>
      <c r="K1" s="66"/>
      <c r="L1" s="66"/>
      <c r="M1" s="66"/>
      <c r="N1" s="66"/>
      <c r="O1" s="66"/>
      <c r="P1" s="66"/>
      <c r="Q1" s="66"/>
      <c r="R1" s="66"/>
    </row>
    <row r="2" spans="1:18" ht="18" x14ac:dyDescent="0.25">
      <c r="A2" s="19" t="s">
        <v>90</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x14ac:dyDescent="0.25">
      <c r="A6" s="10" t="s">
        <v>361</v>
      </c>
      <c r="C6" s="11">
        <v>0</v>
      </c>
      <c r="D6" s="11">
        <f>Assumptions!$C$51</f>
        <v>1</v>
      </c>
      <c r="E6" s="11">
        <f>Assumptions!$C$51</f>
        <v>1</v>
      </c>
      <c r="F6" s="11">
        <f>Assumptions!$C$51</f>
        <v>1</v>
      </c>
      <c r="G6" s="11">
        <f>Assumptions!$C$51</f>
        <v>1</v>
      </c>
      <c r="H6" s="11">
        <f>Assumptions!$C$51</f>
        <v>1</v>
      </c>
      <c r="I6" s="11">
        <f>Assumptions!$C$51</f>
        <v>1</v>
      </c>
      <c r="J6" s="11">
        <f>Assumptions!$C$51</f>
        <v>1</v>
      </c>
      <c r="K6" s="11">
        <f>Assumptions!$C$51</f>
        <v>1</v>
      </c>
      <c r="L6" s="11">
        <f>Assumptions!$C$51</f>
        <v>1</v>
      </c>
      <c r="M6" s="11">
        <f>Assumptions!$C$51</f>
        <v>1</v>
      </c>
      <c r="N6" s="11">
        <f>Assumptions!$C$51</f>
        <v>1</v>
      </c>
      <c r="O6" s="11">
        <f>Assumptions!$C$51</f>
        <v>1</v>
      </c>
      <c r="P6" s="11">
        <f>Assumptions!$C$51</f>
        <v>1</v>
      </c>
      <c r="Q6" s="11">
        <f>Assumptions!$C$51</f>
        <v>1</v>
      </c>
      <c r="R6" s="11">
        <f>Assumptions!$C$51</f>
        <v>1</v>
      </c>
    </row>
    <row r="7" spans="1:18" x14ac:dyDescent="0.25">
      <c r="A7" s="10" t="s">
        <v>362</v>
      </c>
      <c r="C7" s="18">
        <v>0</v>
      </c>
      <c r="D7" s="18">
        <f>Assumptions!$C$7*Assumptions!$C$77*D6</f>
        <v>1650</v>
      </c>
      <c r="E7" s="18">
        <f>Assumptions!$C$7*Assumptions!$C$77*E6</f>
        <v>1650</v>
      </c>
      <c r="F7" s="18">
        <f>Assumptions!$C$7*Assumptions!$C$77*F6</f>
        <v>1650</v>
      </c>
      <c r="G7" s="18">
        <f>Assumptions!$C$7*Assumptions!$C$77*G6</f>
        <v>1650</v>
      </c>
      <c r="H7" s="18">
        <f>Assumptions!$C$7*Assumptions!$C$77*H6</f>
        <v>1650</v>
      </c>
      <c r="I7" s="18">
        <f>Assumptions!$C$7*Assumptions!$C$77*I6</f>
        <v>1650</v>
      </c>
      <c r="J7" s="18">
        <f>Assumptions!$C$7*Assumptions!$C$77*J6</f>
        <v>1650</v>
      </c>
      <c r="K7" s="18">
        <f>Assumptions!$C$7*Assumptions!$C$77*K6</f>
        <v>1650</v>
      </c>
      <c r="L7" s="18">
        <f>Assumptions!$C$7*Assumptions!$C$77*L6</f>
        <v>1650</v>
      </c>
      <c r="M7" s="18">
        <f>Assumptions!$C$7*Assumptions!$C$77*M6</f>
        <v>1650</v>
      </c>
      <c r="N7" s="18">
        <f>Assumptions!$C$7*Assumptions!$C$77*N6</f>
        <v>1650</v>
      </c>
      <c r="O7" s="18">
        <f>Assumptions!$C$7*Assumptions!$C$77*O6</f>
        <v>1650</v>
      </c>
      <c r="P7" s="18">
        <f>Assumptions!$C$7*Assumptions!$C$77*P6</f>
        <v>1650</v>
      </c>
      <c r="Q7" s="18">
        <f>Assumptions!$C$7*Assumptions!$C$77*Q6</f>
        <v>1650</v>
      </c>
      <c r="R7" s="18">
        <f>Assumptions!$C$7*Assumptions!$C$77*R6</f>
        <v>1650</v>
      </c>
    </row>
    <row r="8" spans="1:18" x14ac:dyDescent="0.25">
      <c r="A8" s="10" t="s">
        <v>363</v>
      </c>
      <c r="C8" s="51">
        <v>0</v>
      </c>
      <c r="D8" s="51">
        <f>Assumptions!$C$8*Assumptions!$C$49*365*Assumptions!$C$48*'Degradation-Augmentation'!D21*Assumptions!$C$50</f>
        <v>300307.03499999997</v>
      </c>
      <c r="E8" s="51">
        <f>Assumptions!$C$8*Assumptions!$C$49*365*Assumptions!$C$48*'Degradation-Augmentation'!E21*Assumptions!$C$50</f>
        <v>294300.89430000004</v>
      </c>
      <c r="F8" s="51">
        <f>Assumptions!$C$8*Assumptions!$C$49*365*Assumptions!$C$48*'Degradation-Augmentation'!F21*Assumptions!$C$50</f>
        <v>288414.87641400006</v>
      </c>
      <c r="G8" s="51">
        <f>Assumptions!$C$8*Assumptions!$C$49*365*Assumptions!$C$48*'Degradation-Augmentation'!G21*Assumptions!$C$50</f>
        <v>282646.57888572</v>
      </c>
      <c r="H8" s="51">
        <f>Assumptions!$C$8*Assumptions!$C$49*365*Assumptions!$C$48*'Degradation-Augmentation'!H21*Assumptions!$C$50</f>
        <v>277841.5870446628</v>
      </c>
      <c r="I8" s="51">
        <f>Assumptions!$C$8*Assumptions!$C$49*365*Assumptions!$C$48*'Degradation-Augmentation'!I21*Assumptions!$C$50</f>
        <v>273118.28006490349</v>
      </c>
      <c r="J8" s="51">
        <f>Assumptions!$C$8*Assumptions!$C$49*365*Assumptions!$C$48*'Degradation-Augmentation'!J21*Assumptions!$C$50</f>
        <v>268475.26930380013</v>
      </c>
      <c r="K8" s="51">
        <f>Assumptions!$C$8*Assumptions!$C$49*365*Assumptions!$C$48*'Degradation-Augmentation'!K21*Assumptions!$C$50</f>
        <v>311199</v>
      </c>
      <c r="L8" s="51">
        <f>Assumptions!$C$8*Assumptions!$C$49*365*Assumptions!$C$48*'Degradation-Augmentation'!L21*Assumptions!$C$50</f>
        <v>305908.61700000003</v>
      </c>
      <c r="M8" s="51">
        <f>Assumptions!$C$8*Assumptions!$C$49*365*Assumptions!$C$48*'Degradation-Augmentation'!M21*Assumptions!$C$50</f>
        <v>300708.17051100003</v>
      </c>
      <c r="N8" s="51">
        <f>Assumptions!$C$8*Assumptions!$C$49*365*Assumptions!$C$48*'Degradation-Augmentation'!N21*Assumptions!$C$50</f>
        <v>295596.13161231298</v>
      </c>
      <c r="O8" s="51">
        <f>Assumptions!$C$8*Assumptions!$C$49*365*Assumptions!$C$48*'Degradation-Augmentation'!O21*Assumptions!$C$50</f>
        <v>290570.9973749037</v>
      </c>
      <c r="P8" s="51">
        <f>Assumptions!$C$8*Assumptions!$C$49*365*Assumptions!$C$48*'Degradation-Augmentation'!P21*Assumptions!$C$50</f>
        <v>285631.2904195303</v>
      </c>
      <c r="Q8" s="51">
        <f>Assumptions!$C$8*Assumptions!$C$49*365*Assumptions!$C$48*'Degradation-Augmentation'!Q21*Assumptions!$C$50</f>
        <v>280775.55848239834</v>
      </c>
      <c r="R8" s="51">
        <f>Assumptions!$C$8*Assumptions!$C$49*365*Assumptions!$C$48*'Degradation-Augmentation'!R21*Assumptions!$C$50</f>
        <v>276002.37398819753</v>
      </c>
    </row>
    <row r="9" spans="1:18" x14ac:dyDescent="0.25">
      <c r="A9" s="10" t="s">
        <v>364</v>
      </c>
      <c r="C9" s="18">
        <v>0</v>
      </c>
      <c r="D9" s="18">
        <f>D8*Assumptions!$C$78*1000/1000000</f>
        <v>0</v>
      </c>
      <c r="E9" s="18">
        <f>E8*Assumptions!$C$78*1000/1000000</f>
        <v>0</v>
      </c>
      <c r="F9" s="18">
        <f>F8*Assumptions!$C$78*1000/1000000</f>
        <v>0</v>
      </c>
      <c r="G9" s="18">
        <f>G8*Assumptions!$C$78*1000/1000000</f>
        <v>0</v>
      </c>
      <c r="H9" s="18">
        <f>H8*Assumptions!$C$78*1000/1000000</f>
        <v>0</v>
      </c>
      <c r="I9" s="18">
        <f>I8*Assumptions!$C$78*1000/1000000</f>
        <v>0</v>
      </c>
      <c r="J9" s="18">
        <f>J8*Assumptions!$C$78*1000/1000000</f>
        <v>0</v>
      </c>
      <c r="K9" s="18">
        <f>K8*Assumptions!$C$78*1000/1000000</f>
        <v>0</v>
      </c>
      <c r="L9" s="18">
        <f>L8*Assumptions!$C$78*1000/1000000</f>
        <v>0</v>
      </c>
      <c r="M9" s="18">
        <f>M8*Assumptions!$C$78*1000/1000000</f>
        <v>0</v>
      </c>
      <c r="N9" s="18">
        <f>N8*Assumptions!$C$78*1000/1000000</f>
        <v>0</v>
      </c>
      <c r="O9" s="18">
        <f>O8*Assumptions!$C$78*1000/1000000</f>
        <v>0</v>
      </c>
      <c r="P9" s="18">
        <f>P8*Assumptions!$C$78*1000/1000000</f>
        <v>0</v>
      </c>
      <c r="Q9" s="18">
        <f>Q8*Assumptions!$C$78*1000/1000000</f>
        <v>0</v>
      </c>
      <c r="R9" s="18">
        <f>R8*Assumptions!$C$78*1000/1000000</f>
        <v>0</v>
      </c>
    </row>
    <row r="10" spans="1:18" x14ac:dyDescent="0.25">
      <c r="A10" s="10" t="s">
        <v>365</v>
      </c>
      <c r="C10" s="18">
        <v>0</v>
      </c>
      <c r="D10" s="18">
        <v>0</v>
      </c>
      <c r="E10" s="18">
        <v>0</v>
      </c>
      <c r="F10" s="18">
        <v>0</v>
      </c>
      <c r="G10" s="18">
        <v>0</v>
      </c>
      <c r="H10" s="18">
        <v>0</v>
      </c>
      <c r="I10" s="18">
        <v>0</v>
      </c>
      <c r="J10" s="18">
        <v>0</v>
      </c>
      <c r="K10" s="18">
        <v>0</v>
      </c>
      <c r="L10" s="18">
        <v>0</v>
      </c>
      <c r="M10" s="18">
        <v>0</v>
      </c>
      <c r="N10" s="18">
        <v>0</v>
      </c>
      <c r="O10" s="18">
        <v>0</v>
      </c>
      <c r="P10" s="18">
        <v>0</v>
      </c>
      <c r="Q10" s="18">
        <v>0</v>
      </c>
      <c r="R10" s="18">
        <f>Assumptions!$C$8*Assumptions!$C$12*Assumptions!$C$84</f>
        <v>956.25</v>
      </c>
    </row>
    <row r="11" spans="1:18" x14ac:dyDescent="0.25">
      <c r="A11" s="8" t="s">
        <v>366</v>
      </c>
      <c r="C11" s="32">
        <f t="shared" ref="C11:R11" si="0">C7+C9+C10</f>
        <v>0</v>
      </c>
      <c r="D11" s="32">
        <f t="shared" si="0"/>
        <v>1650</v>
      </c>
      <c r="E11" s="32">
        <f t="shared" si="0"/>
        <v>1650</v>
      </c>
      <c r="F11" s="32">
        <f t="shared" si="0"/>
        <v>1650</v>
      </c>
      <c r="G11" s="32">
        <f t="shared" si="0"/>
        <v>1650</v>
      </c>
      <c r="H11" s="32">
        <f t="shared" si="0"/>
        <v>1650</v>
      </c>
      <c r="I11" s="32">
        <f t="shared" si="0"/>
        <v>1650</v>
      </c>
      <c r="J11" s="32">
        <f t="shared" si="0"/>
        <v>1650</v>
      </c>
      <c r="K11" s="32">
        <f t="shared" si="0"/>
        <v>1650</v>
      </c>
      <c r="L11" s="32">
        <f t="shared" si="0"/>
        <v>1650</v>
      </c>
      <c r="M11" s="32">
        <f t="shared" si="0"/>
        <v>1650</v>
      </c>
      <c r="N11" s="32">
        <f t="shared" si="0"/>
        <v>1650</v>
      </c>
      <c r="O11" s="32">
        <f t="shared" si="0"/>
        <v>1650</v>
      </c>
      <c r="P11" s="32">
        <f t="shared" si="0"/>
        <v>1650</v>
      </c>
      <c r="Q11" s="32">
        <f t="shared" si="0"/>
        <v>1650</v>
      </c>
      <c r="R11" s="32">
        <f t="shared" si="0"/>
        <v>2606.25</v>
      </c>
    </row>
  </sheetData>
  <mergeCells count="1">
    <mergeCell ref="A1:R1"/>
  </mergeCells>
  <pageMargins left="0.75" right="0.75" top="1" bottom="1" header="0.511811023622047" footer="0.511811023622047"/>
  <pageSetup paperSize="9" orientation="portrait" horizontalDpi="300" verticalDpi="300"/>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48235"/>
  </sheetPr>
  <dimension ref="A1:R8"/>
  <sheetViews>
    <sheetView showGridLines="0" zoomScaleNormal="100" workbookViewId="0">
      <pane xSplit="3" ySplit="4" topLeftCell="D5" activePane="bottomRight" state="frozen"/>
      <selection pane="topRight" activeCell="D1" sqref="D1"/>
      <selection pane="bottomLeft" activeCell="A5" sqref="A5"/>
      <selection pane="bottomRight" activeCell="A2" sqref="A2"/>
    </sheetView>
  </sheetViews>
  <sheetFormatPr defaultColWidth="8.7109375" defaultRowHeight="15" x14ac:dyDescent="0.25"/>
  <cols>
    <col min="1" max="1" width="38" customWidth="1"/>
    <col min="2" max="2" width="12" customWidth="1"/>
    <col min="3" max="18" width="11" customWidth="1"/>
  </cols>
  <sheetData>
    <row r="1" spans="1:18" ht="24" customHeight="1" x14ac:dyDescent="0.25">
      <c r="A1" s="66" t="s">
        <v>504</v>
      </c>
      <c r="B1" s="66"/>
      <c r="C1" s="66"/>
      <c r="D1" s="66"/>
      <c r="E1" s="66"/>
      <c r="F1" s="66"/>
      <c r="G1" s="66"/>
      <c r="H1" s="66"/>
      <c r="I1" s="66"/>
      <c r="J1" s="66"/>
      <c r="K1" s="66"/>
      <c r="L1" s="66"/>
      <c r="M1" s="66"/>
      <c r="N1" s="66"/>
      <c r="O1" s="66"/>
      <c r="P1" s="66"/>
      <c r="Q1" s="66"/>
      <c r="R1" s="66"/>
    </row>
    <row r="2" spans="1:18" ht="18" x14ac:dyDescent="0.25">
      <c r="A2" s="19" t="s">
        <v>367</v>
      </c>
    </row>
    <row r="4" spans="1:18" x14ac:dyDescent="0.25">
      <c r="A4" s="14" t="s">
        <v>360</v>
      </c>
      <c r="C4" s="43" t="s">
        <v>333</v>
      </c>
      <c r="D4" s="43">
        <v>1</v>
      </c>
      <c r="E4" s="43">
        <v>2</v>
      </c>
      <c r="F4" s="43">
        <v>3</v>
      </c>
      <c r="G4" s="43">
        <v>4</v>
      </c>
      <c r="H4" s="43">
        <v>5</v>
      </c>
      <c r="I4" s="43">
        <v>6</v>
      </c>
      <c r="J4" s="43">
        <v>7</v>
      </c>
      <c r="K4" s="43">
        <v>8</v>
      </c>
      <c r="L4" s="43">
        <v>9</v>
      </c>
      <c r="M4" s="43">
        <v>10</v>
      </c>
      <c r="N4" s="43">
        <v>11</v>
      </c>
      <c r="O4" s="43">
        <v>12</v>
      </c>
      <c r="P4" s="43">
        <v>13</v>
      </c>
      <c r="Q4" s="43">
        <v>14</v>
      </c>
      <c r="R4" s="43">
        <v>15</v>
      </c>
    </row>
    <row r="6" spans="1:18" x14ac:dyDescent="0.25">
      <c r="A6" s="10" t="s">
        <v>368</v>
      </c>
      <c r="C6" s="18">
        <v>0</v>
      </c>
      <c r="D6" s="18">
        <f>Assumptions!$C$7*Assumptions!$C$62*(1+Assumptions!$C$63)^(1-1)</f>
        <v>112.5</v>
      </c>
      <c r="E6" s="18">
        <f>Assumptions!$C$7*Assumptions!$C$62*(1+Assumptions!$C$63)^(2-1)</f>
        <v>118.125</v>
      </c>
      <c r="F6" s="18">
        <f>Assumptions!$C$7*Assumptions!$C$62*(1+Assumptions!$C$63)^(3-1)</f>
        <v>124.03125</v>
      </c>
      <c r="G6" s="18">
        <f>Assumptions!$C$7*Assumptions!$C$62*(1+Assumptions!$C$63)^(4-1)</f>
        <v>130.23281250000002</v>
      </c>
      <c r="H6" s="18">
        <f>Assumptions!$C$7*Assumptions!$C$62*(1+Assumptions!$C$63)^(5-1)</f>
        <v>136.74445312500001</v>
      </c>
      <c r="I6" s="18">
        <f>Assumptions!$C$7*Assumptions!$C$62*(1+Assumptions!$C$63)^(6-1)</f>
        <v>143.58167578125003</v>
      </c>
      <c r="J6" s="18">
        <f>Assumptions!$C$7*Assumptions!$C$62*(1+Assumptions!$C$63)^(7-1)</f>
        <v>150.7607595703125</v>
      </c>
      <c r="K6" s="18">
        <f>Assumptions!$C$7*Assumptions!$C$62*(1+Assumptions!$C$63)^(8-1)</f>
        <v>158.29879754882816</v>
      </c>
      <c r="L6" s="18">
        <f>Assumptions!$C$7*Assumptions!$C$62*(1+Assumptions!$C$63)^(9-1)</f>
        <v>166.21373742626955</v>
      </c>
      <c r="M6" s="18">
        <f>Assumptions!$C$7*Assumptions!$C$62*(1+Assumptions!$C$63)^(10-1)</f>
        <v>174.52442429758304</v>
      </c>
      <c r="N6" s="18">
        <f>Assumptions!$C$7*Assumptions!$C$62*(1+Assumptions!$C$63)^(11-1)</f>
        <v>183.25064551246217</v>
      </c>
      <c r="O6" s="18">
        <f>Assumptions!$C$7*Assumptions!$C$62*(1+Assumptions!$C$63)^(12-1)</f>
        <v>192.41317778808531</v>
      </c>
      <c r="P6" s="18">
        <f>Assumptions!$C$7*Assumptions!$C$62*(1+Assumptions!$C$63)^(13-1)</f>
        <v>202.03383667748955</v>
      </c>
      <c r="Q6" s="18">
        <f>Assumptions!$C$7*Assumptions!$C$62*(1+Assumptions!$C$63)^(14-1)</f>
        <v>212.13552851136404</v>
      </c>
      <c r="R6" s="18">
        <f>Assumptions!$C$7*Assumptions!$C$62*(1+Assumptions!$C$63)^(15-1)</f>
        <v>222.74230493693221</v>
      </c>
    </row>
    <row r="7" spans="1:18" x14ac:dyDescent="0.25">
      <c r="A7" s="10" t="s">
        <v>369</v>
      </c>
      <c r="C7" s="18">
        <v>0</v>
      </c>
      <c r="D7" s="18">
        <f>Assumptions!$C$20*Assumptions!$C$64</f>
        <v>30.933700000000002</v>
      </c>
      <c r="E7" s="18">
        <f>Assumptions!$C$20*Assumptions!$C$64</f>
        <v>30.933700000000002</v>
      </c>
      <c r="F7" s="18">
        <f>Assumptions!$C$20*Assumptions!$C$64</f>
        <v>30.933700000000002</v>
      </c>
      <c r="G7" s="18">
        <f>Assumptions!$C$20*Assumptions!$C$64</f>
        <v>30.933700000000002</v>
      </c>
      <c r="H7" s="18">
        <f>Assumptions!$C$20*Assumptions!$C$64</f>
        <v>30.933700000000002</v>
      </c>
      <c r="I7" s="18">
        <f>Assumptions!$C$20*Assumptions!$C$64</f>
        <v>30.933700000000002</v>
      </c>
      <c r="J7" s="18">
        <f>Assumptions!$C$20*Assumptions!$C$64</f>
        <v>30.933700000000002</v>
      </c>
      <c r="K7" s="18">
        <f>Assumptions!$C$20*Assumptions!$C$64</f>
        <v>30.933700000000002</v>
      </c>
      <c r="L7" s="18">
        <f>Assumptions!$C$20*Assumptions!$C$64</f>
        <v>30.933700000000002</v>
      </c>
      <c r="M7" s="18">
        <f>Assumptions!$C$20*Assumptions!$C$64</f>
        <v>30.933700000000002</v>
      </c>
      <c r="N7" s="18">
        <f>Assumptions!$C$20*Assumptions!$C$64</f>
        <v>30.933700000000002</v>
      </c>
      <c r="O7" s="18">
        <f>Assumptions!$C$20*Assumptions!$C$64</f>
        <v>30.933700000000002</v>
      </c>
      <c r="P7" s="18">
        <f>Assumptions!$C$20*Assumptions!$C$64</f>
        <v>30.933700000000002</v>
      </c>
      <c r="Q7" s="18">
        <f>Assumptions!$C$20*Assumptions!$C$64</f>
        <v>30.933700000000002</v>
      </c>
      <c r="R7" s="18">
        <f>Assumptions!$C$20*Assumptions!$C$64</f>
        <v>30.933700000000002</v>
      </c>
    </row>
    <row r="8" spans="1:18" x14ac:dyDescent="0.25">
      <c r="A8" s="8" t="s">
        <v>370</v>
      </c>
      <c r="C8" s="32">
        <f t="shared" ref="C8:R8" si="0">C6+C7</f>
        <v>0</v>
      </c>
      <c r="D8" s="32">
        <f t="shared" si="0"/>
        <v>143.43369999999999</v>
      </c>
      <c r="E8" s="32">
        <f t="shared" si="0"/>
        <v>149.05869999999999</v>
      </c>
      <c r="F8" s="32">
        <f t="shared" si="0"/>
        <v>154.96494999999999</v>
      </c>
      <c r="G8" s="32">
        <f t="shared" si="0"/>
        <v>161.16651250000001</v>
      </c>
      <c r="H8" s="32">
        <f t="shared" si="0"/>
        <v>167.67815312499999</v>
      </c>
      <c r="I8" s="32">
        <f t="shared" si="0"/>
        <v>174.51537578125004</v>
      </c>
      <c r="J8" s="32">
        <f t="shared" si="0"/>
        <v>181.69445957031252</v>
      </c>
      <c r="K8" s="32">
        <f t="shared" si="0"/>
        <v>189.23249754882818</v>
      </c>
      <c r="L8" s="32">
        <f t="shared" si="0"/>
        <v>197.14743742626956</v>
      </c>
      <c r="M8" s="32">
        <f t="shared" si="0"/>
        <v>205.45812429758303</v>
      </c>
      <c r="N8" s="32">
        <f t="shared" si="0"/>
        <v>214.18434551246219</v>
      </c>
      <c r="O8" s="32">
        <f t="shared" si="0"/>
        <v>223.34687778808529</v>
      </c>
      <c r="P8" s="32">
        <f t="shared" si="0"/>
        <v>232.96753667748953</v>
      </c>
      <c r="Q8" s="32">
        <f t="shared" si="0"/>
        <v>243.06922851136403</v>
      </c>
      <c r="R8" s="32">
        <f t="shared" si="0"/>
        <v>253.6760049369322</v>
      </c>
    </row>
  </sheetData>
  <mergeCells count="1">
    <mergeCell ref="A1:R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Instructions</vt:lpstr>
      <vt:lpstr>Formula Guide</vt:lpstr>
      <vt:lpstr>Dashboard</vt:lpstr>
      <vt:lpstr>Assumptions</vt:lpstr>
      <vt:lpstr>Degradation Curve</vt:lpstr>
      <vt:lpstr>Degradation-Augmentation</vt:lpstr>
      <vt:lpstr>Revenue</vt:lpstr>
      <vt:lpstr>Opex</vt:lpstr>
      <vt:lpstr>Depreciation</vt:lpstr>
      <vt:lpstr>Debt Schedule</vt:lpstr>
      <vt:lpstr>P&amp;L</vt:lpstr>
      <vt:lpstr>Cash Flow</vt:lpstr>
      <vt:lpstr>Year 0 Phasing</vt:lpstr>
      <vt:lpstr>Balance Sheet</vt:lpstr>
      <vt:lpstr>Sensitivity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madhu roy</cp:lastModifiedBy>
  <cp:revision>0</cp:revision>
  <dcterms:created xsi:type="dcterms:W3CDTF">2026-07-25T11:46:24Z</dcterms:created>
  <dcterms:modified xsi:type="dcterms:W3CDTF">2026-07-25T16:02:27Z</dcterms:modified>
  <dc:language>en-US</dc:language>
</cp:coreProperties>
</file>