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ACER Data website\MAYA\CAMSROY website\Excel Template\Financisl model\"/>
    </mc:Choice>
  </mc:AlternateContent>
  <xr:revisionPtr revIDLastSave="0" documentId="13_ncr:1_{2F2F7372-7B83-495B-9DAC-95C93138A821}" xr6:coauthVersionLast="47" xr6:coauthVersionMax="47" xr10:uidLastSave="{00000000-0000-0000-0000-000000000000}"/>
  <bookViews>
    <workbookView xWindow="-120" yWindow="-120" windowWidth="25440" windowHeight="15270" tabRatio="500" firstSheet="12" activeTab="14" xr2:uid="{00000000-000D-0000-FFFF-FFFF00000000}"/>
  </bookViews>
  <sheets>
    <sheet name="🏠 COVER" sheetId="1" r:id="rId1"/>
    <sheet name="📋 ASSUMPTIONS" sheetId="2" r:id="rId2"/>
    <sheet name="💰 CAPEX &amp; MOF" sheetId="3" r:id="rId3"/>
    <sheet name="📊 REVENUE MODEL" sheetId="4" r:id="rId4"/>
    <sheet name="💸 OPEX SCHEDULE" sheetId="5" r:id="rId5"/>
    <sheet name="📉 DEPRECIATION" sheetId="6" r:id="rId6"/>
    <sheet name="🏦 DEBT SCHEDULE" sheetId="7" r:id="rId7"/>
    <sheet name="📈 P&amp;L" sheetId="8" r:id="rId8"/>
    <sheet name="🏛 BALANCE SHEET" sheetId="9" r:id="rId9"/>
    <sheet name="💵 CASH FLOW" sheetId="10" r:id="rId10"/>
    <sheet name="🎯 DSCR &amp; DEBT SERVICE" sheetId="11" r:id="rId11"/>
    <sheet name="📐 RETURNS &amp; WACC" sheetId="12" r:id="rId12"/>
    <sheet name="🔬 SENSITIVITY" sheetId="13" r:id="rId13"/>
    <sheet name="🎖 LENDER DASHBOARD" sheetId="14" r:id="rId14"/>
    <sheet name="📖 HOW TO USE" sheetId="15" r:id="rId15"/>
    <sheet name="📋 CMA FORM I - OPERATING STMT" sheetId="16" r:id="rId16"/>
    <sheet name="📋 CMA FORM II - BS ANALYSIS" sheetId="17" r:id="rId17"/>
    <sheet name="📋 CMA FORM V - FUND FLOW" sheetId="18" r:id="rId1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V13" i="18" l="1"/>
  <c r="U13" i="18"/>
  <c r="T13" i="18"/>
  <c r="S13" i="18"/>
  <c r="R13" i="18"/>
  <c r="Q13" i="18"/>
  <c r="P13" i="18"/>
  <c r="O13" i="18"/>
  <c r="N13" i="18"/>
  <c r="M13" i="18"/>
  <c r="L13" i="18"/>
  <c r="K13" i="18"/>
  <c r="J13" i="18"/>
  <c r="I13" i="18"/>
  <c r="H13" i="18"/>
  <c r="G13" i="18"/>
  <c r="F13" i="18"/>
  <c r="E13" i="18"/>
  <c r="D13" i="18"/>
  <c r="C13" i="18"/>
  <c r="V9" i="18"/>
  <c r="U9" i="18"/>
  <c r="T9" i="18"/>
  <c r="S9" i="18"/>
  <c r="R9" i="18"/>
  <c r="Q9" i="18"/>
  <c r="P9" i="18"/>
  <c r="O9" i="18"/>
  <c r="N9" i="18"/>
  <c r="M9" i="18"/>
  <c r="L9" i="18"/>
  <c r="K9" i="18"/>
  <c r="J9" i="18"/>
  <c r="I9" i="18"/>
  <c r="H9" i="18"/>
  <c r="G9" i="18"/>
  <c r="F9" i="18"/>
  <c r="E9" i="18"/>
  <c r="D9" i="18"/>
  <c r="C19" i="14"/>
  <c r="B8" i="14"/>
  <c r="B4" i="13"/>
  <c r="B8" i="12"/>
  <c r="B9" i="12" s="1"/>
  <c r="B13" i="14" s="1"/>
  <c r="B6" i="12"/>
  <c r="B5" i="12"/>
  <c r="B4" i="12"/>
  <c r="B7" i="12" s="1"/>
  <c r="V10" i="10"/>
  <c r="V11" i="10" s="1"/>
  <c r="U10" i="10"/>
  <c r="U11" i="10" s="1"/>
  <c r="T10" i="10"/>
  <c r="T11" i="10" s="1"/>
  <c r="S10" i="10"/>
  <c r="S11" i="10" s="1"/>
  <c r="R10" i="10"/>
  <c r="R11" i="10" s="1"/>
  <c r="Q10" i="10"/>
  <c r="Q11" i="10" s="1"/>
  <c r="P10" i="10"/>
  <c r="P11" i="10" s="1"/>
  <c r="O10" i="10"/>
  <c r="O11" i="10" s="1"/>
  <c r="N10" i="10"/>
  <c r="N11" i="10" s="1"/>
  <c r="M10" i="10"/>
  <c r="M11" i="10" s="1"/>
  <c r="L10" i="10"/>
  <c r="L11" i="10" s="1"/>
  <c r="K10" i="10"/>
  <c r="K11" i="10" s="1"/>
  <c r="J10" i="10"/>
  <c r="J11" i="10" s="1"/>
  <c r="I10" i="10"/>
  <c r="I11" i="10" s="1"/>
  <c r="H10" i="10"/>
  <c r="H11" i="10" s="1"/>
  <c r="G10" i="10"/>
  <c r="G11" i="10" s="1"/>
  <c r="F10" i="10"/>
  <c r="F11" i="10" s="1"/>
  <c r="E10" i="10"/>
  <c r="E11" i="10" s="1"/>
  <c r="D10" i="10"/>
  <c r="D11" i="10" s="1"/>
  <c r="B29" i="9"/>
  <c r="B6" i="17" s="1"/>
  <c r="V12" i="9"/>
  <c r="V13" i="7"/>
  <c r="V11" i="7"/>
  <c r="U11" i="7"/>
  <c r="T11" i="7"/>
  <c r="S11" i="7"/>
  <c r="R11" i="7"/>
  <c r="Q11" i="7"/>
  <c r="P11" i="7"/>
  <c r="O11" i="7"/>
  <c r="N11" i="7"/>
  <c r="M11" i="7"/>
  <c r="L11" i="7"/>
  <c r="K11" i="7"/>
  <c r="J11" i="7"/>
  <c r="I11" i="7"/>
  <c r="H11" i="7"/>
  <c r="G11" i="7"/>
  <c r="F11" i="7"/>
  <c r="E11" i="7"/>
  <c r="D11" i="7"/>
  <c r="V8" i="7"/>
  <c r="U8" i="7"/>
  <c r="T8" i="7"/>
  <c r="S8" i="7"/>
  <c r="R8" i="7"/>
  <c r="Q8" i="7"/>
  <c r="P8" i="7"/>
  <c r="O8" i="7"/>
  <c r="C8" i="7"/>
  <c r="V7" i="5"/>
  <c r="V12" i="8" s="1"/>
  <c r="U7" i="5"/>
  <c r="U12" i="8" s="1"/>
  <c r="T7" i="5"/>
  <c r="T12" i="8" s="1"/>
  <c r="S7" i="5"/>
  <c r="S12" i="8" s="1"/>
  <c r="R7" i="5"/>
  <c r="R12" i="8" s="1"/>
  <c r="Q7" i="5"/>
  <c r="Q12" i="8" s="1"/>
  <c r="P7" i="5"/>
  <c r="P12" i="8" s="1"/>
  <c r="O7" i="5"/>
  <c r="O12" i="8" s="1"/>
  <c r="N7" i="5"/>
  <c r="N12" i="8" s="1"/>
  <c r="M7" i="5"/>
  <c r="M12" i="8" s="1"/>
  <c r="L7" i="5"/>
  <c r="L12" i="8" s="1"/>
  <c r="K7" i="5"/>
  <c r="K12" i="8" s="1"/>
  <c r="J7" i="5"/>
  <c r="J12" i="8" s="1"/>
  <c r="I7" i="5"/>
  <c r="I12" i="8" s="1"/>
  <c r="H7" i="5"/>
  <c r="H12" i="8" s="1"/>
  <c r="G7" i="5"/>
  <c r="G12" i="8" s="1"/>
  <c r="F7" i="5"/>
  <c r="F12" i="8" s="1"/>
  <c r="E7" i="5"/>
  <c r="E12" i="8" s="1"/>
  <c r="D7" i="5"/>
  <c r="D12" i="8" s="1"/>
  <c r="C7" i="5"/>
  <c r="C12" i="8" s="1"/>
  <c r="V5" i="5"/>
  <c r="U5" i="5"/>
  <c r="T5" i="5"/>
  <c r="S5" i="5"/>
  <c r="R5" i="5"/>
  <c r="Q5" i="5"/>
  <c r="P5" i="5"/>
  <c r="O5" i="5"/>
  <c r="N5" i="5"/>
  <c r="M5" i="5"/>
  <c r="L5" i="5"/>
  <c r="K5" i="5"/>
  <c r="J5" i="5"/>
  <c r="I5" i="5"/>
  <c r="H5" i="5"/>
  <c r="G5" i="5"/>
  <c r="F5" i="5"/>
  <c r="E5" i="5"/>
  <c r="D5" i="5"/>
  <c r="C5" i="5"/>
  <c r="V7" i="4"/>
  <c r="U7" i="4"/>
  <c r="T7" i="4"/>
  <c r="S7" i="4"/>
  <c r="R7" i="4"/>
  <c r="Q7" i="4"/>
  <c r="P7" i="4"/>
  <c r="O7" i="4"/>
  <c r="N7" i="4"/>
  <c r="M7" i="4"/>
  <c r="L7" i="4"/>
  <c r="K7" i="4"/>
  <c r="J7" i="4"/>
  <c r="I7" i="4"/>
  <c r="H7" i="4"/>
  <c r="G7" i="4"/>
  <c r="F7" i="4"/>
  <c r="E7" i="4"/>
  <c r="D7" i="4"/>
  <c r="C7" i="4"/>
  <c r="V5" i="4"/>
  <c r="U5" i="4"/>
  <c r="T5" i="4"/>
  <c r="S5" i="4"/>
  <c r="R5" i="4"/>
  <c r="Q5" i="4"/>
  <c r="P5" i="4"/>
  <c r="O5" i="4"/>
  <c r="N5" i="4"/>
  <c r="M5" i="4"/>
  <c r="L5" i="4"/>
  <c r="K5" i="4"/>
  <c r="J5" i="4"/>
  <c r="I5" i="4"/>
  <c r="H5" i="4"/>
  <c r="G5" i="4"/>
  <c r="F5" i="4"/>
  <c r="E5" i="4"/>
  <c r="D5" i="4"/>
  <c r="C5" i="4"/>
  <c r="C24" i="3"/>
  <c r="C23" i="3"/>
  <c r="D13" i="3"/>
  <c r="B12" i="3"/>
  <c r="D11" i="3"/>
  <c r="B11" i="3"/>
  <c r="D10" i="3"/>
  <c r="B10" i="3"/>
  <c r="D9" i="3"/>
  <c r="B9" i="3"/>
  <c r="D8" i="3"/>
  <c r="B8" i="3"/>
  <c r="D7" i="3"/>
  <c r="B7" i="3"/>
  <c r="D6" i="3"/>
  <c r="B6" i="3"/>
  <c r="D5" i="3"/>
  <c r="B5" i="3"/>
  <c r="B26" i="2"/>
  <c r="B12" i="14" l="1"/>
  <c r="V14" i="18"/>
  <c r="V15" i="18" s="1"/>
  <c r="V16" i="10"/>
  <c r="U14" i="18"/>
  <c r="U15" i="18" s="1"/>
  <c r="U16" i="10"/>
  <c r="T16" i="10"/>
  <c r="T14" i="18"/>
  <c r="T15" i="18" s="1"/>
  <c r="S16" i="10"/>
  <c r="S14" i="18"/>
  <c r="S15" i="18" s="1"/>
  <c r="R16" i="10"/>
  <c r="R14" i="18"/>
  <c r="R15" i="18" s="1"/>
  <c r="Q14" i="18"/>
  <c r="Q15" i="18" s="1"/>
  <c r="Q16" i="10"/>
  <c r="P16" i="10"/>
  <c r="P14" i="18"/>
  <c r="P15" i="18" s="1"/>
  <c r="O14" i="18"/>
  <c r="O15" i="18" s="1"/>
  <c r="O16" i="10"/>
  <c r="V10" i="8"/>
  <c r="U10" i="8"/>
  <c r="T10" i="8"/>
  <c r="S10" i="8"/>
  <c r="R10" i="8"/>
  <c r="Q10" i="8"/>
  <c r="P10" i="8"/>
  <c r="O10" i="8"/>
  <c r="N10" i="8"/>
  <c r="M10" i="8"/>
  <c r="L10" i="8"/>
  <c r="K10" i="8"/>
  <c r="J10" i="8"/>
  <c r="I10" i="8"/>
  <c r="H10" i="8"/>
  <c r="G10" i="8"/>
  <c r="F10" i="8"/>
  <c r="E10" i="8"/>
  <c r="D10" i="8"/>
  <c r="C10" i="8"/>
  <c r="V6" i="4"/>
  <c r="V8" i="4" s="1"/>
  <c r="V9" i="4"/>
  <c r="V10" i="4" s="1"/>
  <c r="V6" i="8" s="1"/>
  <c r="U9" i="4"/>
  <c r="U10" i="4" s="1"/>
  <c r="U6" i="8" s="1"/>
  <c r="U6" i="4"/>
  <c r="U8" i="4" s="1"/>
  <c r="T6" i="4"/>
  <c r="T8" i="4" s="1"/>
  <c r="T9" i="4"/>
  <c r="T10" i="4" s="1"/>
  <c r="T6" i="8" s="1"/>
  <c r="S9" i="4"/>
  <c r="S10" i="4" s="1"/>
  <c r="S6" i="8" s="1"/>
  <c r="S6" i="4"/>
  <c r="S8" i="4" s="1"/>
  <c r="R6" i="4"/>
  <c r="R8" i="4" s="1"/>
  <c r="R9" i="4"/>
  <c r="R10" i="4" s="1"/>
  <c r="R6" i="8" s="1"/>
  <c r="Q9" i="4"/>
  <c r="Q10" i="4" s="1"/>
  <c r="Q6" i="8" s="1"/>
  <c r="Q6" i="4"/>
  <c r="Q8" i="4" s="1"/>
  <c r="P6" i="4"/>
  <c r="P8" i="4" s="1"/>
  <c r="P9" i="4"/>
  <c r="P10" i="4" s="1"/>
  <c r="P6" i="8" s="1"/>
  <c r="O6" i="4"/>
  <c r="O8" i="4" s="1"/>
  <c r="O9" i="4"/>
  <c r="O10" i="4" s="1"/>
  <c r="O6" i="8" s="1"/>
  <c r="N9" i="4"/>
  <c r="N10" i="4" s="1"/>
  <c r="N6" i="8" s="1"/>
  <c r="N6" i="4"/>
  <c r="N8" i="4" s="1"/>
  <c r="M6" i="4"/>
  <c r="M8" i="4" s="1"/>
  <c r="M9" i="4"/>
  <c r="M10" i="4" s="1"/>
  <c r="M6" i="8" s="1"/>
  <c r="L6" i="4"/>
  <c r="L8" i="4" s="1"/>
  <c r="L9" i="4"/>
  <c r="L10" i="4" s="1"/>
  <c r="L6" i="8" s="1"/>
  <c r="K9" i="4"/>
  <c r="K10" i="4" s="1"/>
  <c r="K6" i="8" s="1"/>
  <c r="K6" i="4"/>
  <c r="K8" i="4" s="1"/>
  <c r="J6" i="4"/>
  <c r="J8" i="4" s="1"/>
  <c r="J9" i="4"/>
  <c r="J10" i="4" s="1"/>
  <c r="J6" i="8" s="1"/>
  <c r="I6" i="4"/>
  <c r="I8" i="4" s="1"/>
  <c r="I9" i="4"/>
  <c r="I10" i="4" s="1"/>
  <c r="I6" i="8" s="1"/>
  <c r="H9" i="4"/>
  <c r="H10" i="4" s="1"/>
  <c r="H6" i="8" s="1"/>
  <c r="H6" i="4"/>
  <c r="H8" i="4" s="1"/>
  <c r="G6" i="4"/>
  <c r="G8" i="4" s="1"/>
  <c r="G9" i="4"/>
  <c r="G10" i="4" s="1"/>
  <c r="G6" i="8" s="1"/>
  <c r="F6" i="4"/>
  <c r="F8" i="4" s="1"/>
  <c r="F9" i="4"/>
  <c r="F10" i="4" s="1"/>
  <c r="F6" i="8" s="1"/>
  <c r="E9" i="4"/>
  <c r="E10" i="4" s="1"/>
  <c r="E6" i="8" s="1"/>
  <c r="E6" i="4"/>
  <c r="E8" i="4" s="1"/>
  <c r="D9" i="4"/>
  <c r="D10" i="4" s="1"/>
  <c r="D6" i="8" s="1"/>
  <c r="D6" i="4"/>
  <c r="D8" i="4" s="1"/>
  <c r="C9" i="4"/>
  <c r="C10" i="4" s="1"/>
  <c r="C6" i="8" s="1"/>
  <c r="C6" i="4"/>
  <c r="C8" i="4" s="1"/>
  <c r="B28" i="2"/>
  <c r="V5" i="8" l="1"/>
  <c r="V7" i="8" s="1"/>
  <c r="V11" i="4"/>
  <c r="U11" i="4"/>
  <c r="U5" i="8"/>
  <c r="U7" i="8" s="1"/>
  <c r="T5" i="8"/>
  <c r="T7" i="8" s="1"/>
  <c r="T11" i="4"/>
  <c r="S5" i="8"/>
  <c r="S7" i="8" s="1"/>
  <c r="S11" i="4"/>
  <c r="R11" i="4"/>
  <c r="R5" i="8"/>
  <c r="R7" i="8" s="1"/>
  <c r="Q5" i="8"/>
  <c r="Q7" i="8" s="1"/>
  <c r="Q11" i="4"/>
  <c r="P11" i="4"/>
  <c r="P5" i="8"/>
  <c r="P7" i="8" s="1"/>
  <c r="O11" i="4"/>
  <c r="O5" i="8"/>
  <c r="O7" i="8" s="1"/>
  <c r="N5" i="8"/>
  <c r="N7" i="8" s="1"/>
  <c r="N11" i="4"/>
  <c r="M5" i="8"/>
  <c r="M7" i="8" s="1"/>
  <c r="M11" i="4"/>
  <c r="L5" i="8"/>
  <c r="L7" i="8" s="1"/>
  <c r="L11" i="4"/>
  <c r="K11" i="4"/>
  <c r="K5" i="8"/>
  <c r="K7" i="8" s="1"/>
  <c r="J5" i="8"/>
  <c r="J7" i="8" s="1"/>
  <c r="J11" i="4"/>
  <c r="I11" i="4"/>
  <c r="I5" i="8"/>
  <c r="I7" i="8" s="1"/>
  <c r="H5" i="8"/>
  <c r="H7" i="8" s="1"/>
  <c r="H11" i="4"/>
  <c r="G5" i="8"/>
  <c r="G7" i="8" s="1"/>
  <c r="G11" i="4"/>
  <c r="F11" i="4"/>
  <c r="F5" i="8"/>
  <c r="F7" i="8" s="1"/>
  <c r="E11" i="4"/>
  <c r="E5" i="8"/>
  <c r="E7" i="8" s="1"/>
  <c r="D5" i="8"/>
  <c r="D7" i="8" s="1"/>
  <c r="D11" i="4"/>
  <c r="C5" i="8"/>
  <c r="C7" i="8" s="1"/>
  <c r="C11" i="4"/>
  <c r="B13" i="3"/>
  <c r="B14" i="3" s="1"/>
  <c r="B29" i="2"/>
  <c r="V4" i="16" l="1"/>
  <c r="V6" i="16" s="1"/>
  <c r="U4" i="16"/>
  <c r="U6" i="16" s="1"/>
  <c r="T4" i="16"/>
  <c r="T6" i="16" s="1"/>
  <c r="S4" i="16"/>
  <c r="S6" i="16" s="1"/>
  <c r="R4" i="16"/>
  <c r="R6" i="16" s="1"/>
  <c r="Q4" i="16"/>
  <c r="Q6" i="16" s="1"/>
  <c r="P4" i="16"/>
  <c r="P6" i="16" s="1"/>
  <c r="O4" i="16"/>
  <c r="O6" i="16" s="1"/>
  <c r="N4" i="16"/>
  <c r="N6" i="16" s="1"/>
  <c r="M4" i="16"/>
  <c r="M6" i="16" s="1"/>
  <c r="L4" i="16"/>
  <c r="L6" i="16" s="1"/>
  <c r="K4" i="16"/>
  <c r="K6" i="16" s="1"/>
  <c r="J4" i="16"/>
  <c r="J6" i="16" s="1"/>
  <c r="I4" i="16"/>
  <c r="I6" i="16" s="1"/>
  <c r="H4" i="16"/>
  <c r="H6" i="16" s="1"/>
  <c r="G4" i="16"/>
  <c r="G6" i="16" s="1"/>
  <c r="F4" i="16"/>
  <c r="F6" i="16" s="1"/>
  <c r="E4" i="16"/>
  <c r="E6" i="16" s="1"/>
  <c r="D4" i="16"/>
  <c r="D6" i="16" s="1"/>
  <c r="B6" i="13"/>
  <c r="C4" i="16"/>
  <c r="C6" i="16" s="1"/>
  <c r="B30" i="3"/>
  <c r="B15" i="3"/>
  <c r="B16" i="3"/>
  <c r="B17" i="3" s="1"/>
  <c r="C10" i="10" l="1"/>
  <c r="C11" i="10" s="1"/>
  <c r="B5" i="14"/>
  <c r="C9" i="18"/>
  <c r="C17" i="6"/>
  <c r="C19" i="6" s="1"/>
  <c r="C18" i="6"/>
  <c r="C20" i="8" s="1"/>
  <c r="C13" i="16" s="1"/>
  <c r="G18" i="6"/>
  <c r="G20" i="8" s="1"/>
  <c r="G13" i="16" s="1"/>
  <c r="J18" i="6"/>
  <c r="J20" i="8" s="1"/>
  <c r="J13" i="16" s="1"/>
  <c r="M18" i="6"/>
  <c r="M20" i="8" s="1"/>
  <c r="M13" i="16" s="1"/>
  <c r="Q18" i="6"/>
  <c r="Q20" i="8" s="1"/>
  <c r="Q13" i="16" s="1"/>
  <c r="D18" i="6"/>
  <c r="D20" i="8" s="1"/>
  <c r="D13" i="16" s="1"/>
  <c r="F18" i="6"/>
  <c r="F20" i="8" s="1"/>
  <c r="F13" i="16" s="1"/>
  <c r="I18" i="6"/>
  <c r="I20" i="8" s="1"/>
  <c r="I13" i="16" s="1"/>
  <c r="L18" i="6"/>
  <c r="L20" i="8" s="1"/>
  <c r="L13" i="16" s="1"/>
  <c r="O18" i="6"/>
  <c r="O20" i="8" s="1"/>
  <c r="O13" i="16" s="1"/>
  <c r="R18" i="6"/>
  <c r="R20" i="8" s="1"/>
  <c r="R13" i="16" s="1"/>
  <c r="T18" i="6"/>
  <c r="T20" i="8" s="1"/>
  <c r="T13" i="16" s="1"/>
  <c r="U18" i="6"/>
  <c r="U20" i="8" s="1"/>
  <c r="U13" i="16" s="1"/>
  <c r="E18" i="6"/>
  <c r="E20" i="8" s="1"/>
  <c r="E13" i="16" s="1"/>
  <c r="H18" i="6"/>
  <c r="H20" i="8" s="1"/>
  <c r="H13" i="16" s="1"/>
  <c r="K18" i="6"/>
  <c r="K20" i="8" s="1"/>
  <c r="K13" i="16" s="1"/>
  <c r="N18" i="6"/>
  <c r="N20" i="8" s="1"/>
  <c r="N13" i="16" s="1"/>
  <c r="P18" i="6"/>
  <c r="P20" i="8" s="1"/>
  <c r="P13" i="16" s="1"/>
  <c r="S18" i="6"/>
  <c r="S20" i="8" s="1"/>
  <c r="S13" i="16" s="1"/>
  <c r="V18" i="6"/>
  <c r="V20" i="8" s="1"/>
  <c r="V13" i="16" s="1"/>
  <c r="C12" i="3"/>
  <c r="C13" i="3"/>
  <c r="C6" i="3"/>
  <c r="C10" i="3"/>
  <c r="C5" i="3"/>
  <c r="C7" i="3"/>
  <c r="C9" i="3"/>
  <c r="C8" i="3"/>
  <c r="C11" i="3"/>
  <c r="D6" i="5"/>
  <c r="G6" i="5"/>
  <c r="J6" i="5"/>
  <c r="N6" i="5"/>
  <c r="R6" i="5"/>
  <c r="U6" i="5"/>
  <c r="V6" i="5"/>
  <c r="C6" i="6"/>
  <c r="I6" i="6"/>
  <c r="I18" i="8" s="1"/>
  <c r="L6" i="6"/>
  <c r="L18" i="8" s="1"/>
  <c r="N6" i="6"/>
  <c r="N18" i="8" s="1"/>
  <c r="Q6" i="6"/>
  <c r="Q18" i="8" s="1"/>
  <c r="R6" i="6"/>
  <c r="R18" i="8" s="1"/>
  <c r="T6" i="6"/>
  <c r="T18" i="8" s="1"/>
  <c r="C10" i="6"/>
  <c r="E6" i="5"/>
  <c r="H6" i="5"/>
  <c r="L6" i="5"/>
  <c r="O6" i="5"/>
  <c r="P6" i="5"/>
  <c r="S6" i="5"/>
  <c r="E6" i="6"/>
  <c r="E18" i="8" s="1"/>
  <c r="G6" i="6"/>
  <c r="G18" i="8" s="1"/>
  <c r="J6" i="6"/>
  <c r="J18" i="8" s="1"/>
  <c r="M6" i="6"/>
  <c r="M18" i="8" s="1"/>
  <c r="P6" i="6"/>
  <c r="P18" i="8" s="1"/>
  <c r="U6" i="6"/>
  <c r="U18" i="8" s="1"/>
  <c r="C6" i="5"/>
  <c r="F6" i="5"/>
  <c r="I6" i="5"/>
  <c r="M6" i="5"/>
  <c r="Q6" i="5"/>
  <c r="T6" i="5"/>
  <c r="C5" i="6"/>
  <c r="D6" i="6"/>
  <c r="D18" i="8" s="1"/>
  <c r="F6" i="6"/>
  <c r="F18" i="8" s="1"/>
  <c r="H6" i="6"/>
  <c r="H18" i="8" s="1"/>
  <c r="K6" i="6"/>
  <c r="K18" i="8" s="1"/>
  <c r="O6" i="6"/>
  <c r="O18" i="8" s="1"/>
  <c r="S6" i="6"/>
  <c r="S18" i="8" s="1"/>
  <c r="V6" i="6"/>
  <c r="V18" i="8" s="1"/>
  <c r="B6" i="9"/>
  <c r="B8" i="9" s="1"/>
  <c r="B9" i="9" s="1"/>
  <c r="B10" i="10"/>
  <c r="B11" i="10" s="1"/>
  <c r="B23" i="3"/>
  <c r="B24" i="3"/>
  <c r="C28" i="12"/>
  <c r="B4" i="14"/>
  <c r="B19" i="3"/>
  <c r="B9" i="14" s="1"/>
  <c r="B13" i="18"/>
  <c r="B15" i="18" s="1"/>
  <c r="K6" i="5"/>
  <c r="C15" i="3"/>
  <c r="C14" i="3"/>
  <c r="C16" i="3"/>
  <c r="D17" i="6" l="1"/>
  <c r="D19" i="6" s="1"/>
  <c r="C26" i="9"/>
  <c r="D8" i="5"/>
  <c r="D11" i="8"/>
  <c r="D13" i="8" s="1"/>
  <c r="G8" i="5"/>
  <c r="G11" i="8"/>
  <c r="G13" i="8" s="1"/>
  <c r="J8" i="5"/>
  <c r="J11" i="8"/>
  <c r="J13" i="8" s="1"/>
  <c r="N8" i="5"/>
  <c r="N11" i="8"/>
  <c r="N13" i="8" s="1"/>
  <c r="R8" i="5"/>
  <c r="R11" i="8"/>
  <c r="R13" i="8" s="1"/>
  <c r="U8" i="5"/>
  <c r="U11" i="8"/>
  <c r="U13" i="8" s="1"/>
  <c r="V8" i="5"/>
  <c r="V11" i="8"/>
  <c r="V13" i="8" s="1"/>
  <c r="I6" i="10"/>
  <c r="I9" i="16"/>
  <c r="I6" i="18"/>
  <c r="L6" i="10"/>
  <c r="L9" i="16"/>
  <c r="L6" i="18"/>
  <c r="N6" i="10"/>
  <c r="N9" i="16"/>
  <c r="N6" i="18"/>
  <c r="Q6" i="10"/>
  <c r="Q9" i="16"/>
  <c r="Q6" i="18"/>
  <c r="R6" i="10"/>
  <c r="R9" i="16"/>
  <c r="R6" i="18"/>
  <c r="T6" i="10"/>
  <c r="T9" i="16"/>
  <c r="T6" i="18"/>
  <c r="C11" i="6"/>
  <c r="E8" i="5"/>
  <c r="E11" i="8"/>
  <c r="E13" i="8" s="1"/>
  <c r="H8" i="5"/>
  <c r="H11" i="8"/>
  <c r="H13" i="8" s="1"/>
  <c r="L8" i="5"/>
  <c r="L11" i="8"/>
  <c r="L13" i="8" s="1"/>
  <c r="O8" i="5"/>
  <c r="O11" i="8"/>
  <c r="O13" i="8" s="1"/>
  <c r="P8" i="5"/>
  <c r="P11" i="8"/>
  <c r="P13" i="8" s="1"/>
  <c r="S8" i="5"/>
  <c r="S11" i="8"/>
  <c r="S13" i="8" s="1"/>
  <c r="E6" i="10"/>
  <c r="E9" i="16"/>
  <c r="E6" i="18"/>
  <c r="G6" i="10"/>
  <c r="G9" i="16"/>
  <c r="G6" i="18"/>
  <c r="J6" i="10"/>
  <c r="J9" i="16"/>
  <c r="J6" i="18"/>
  <c r="M6" i="10"/>
  <c r="M9" i="16"/>
  <c r="M6" i="18"/>
  <c r="P6" i="10"/>
  <c r="P9" i="16"/>
  <c r="P6" i="18"/>
  <c r="U6" i="10"/>
  <c r="U9" i="16"/>
  <c r="U6" i="18"/>
  <c r="C8" i="5"/>
  <c r="C11" i="8"/>
  <c r="C13" i="8" s="1"/>
  <c r="F8" i="5"/>
  <c r="F11" i="8"/>
  <c r="F13" i="8" s="1"/>
  <c r="I8" i="5"/>
  <c r="I11" i="8"/>
  <c r="I13" i="8" s="1"/>
  <c r="M8" i="5"/>
  <c r="M11" i="8"/>
  <c r="M13" i="8" s="1"/>
  <c r="Q8" i="5"/>
  <c r="Q11" i="8"/>
  <c r="Q13" i="8" s="1"/>
  <c r="T8" i="5"/>
  <c r="T11" i="8"/>
  <c r="T13" i="8" s="1"/>
  <c r="C6" i="9"/>
  <c r="D5" i="6"/>
  <c r="D6" i="10"/>
  <c r="D9" i="16"/>
  <c r="D6" i="18"/>
  <c r="F6" i="10"/>
  <c r="F9" i="16"/>
  <c r="F6" i="18"/>
  <c r="H6" i="10"/>
  <c r="H9" i="16"/>
  <c r="H6" i="18"/>
  <c r="K6" i="10"/>
  <c r="K9" i="16"/>
  <c r="K6" i="18"/>
  <c r="O6" i="10"/>
  <c r="O9" i="16"/>
  <c r="O6" i="18"/>
  <c r="S6" i="10"/>
  <c r="S9" i="16"/>
  <c r="S6" i="18"/>
  <c r="V6" i="10"/>
  <c r="V9" i="16"/>
  <c r="V6" i="18"/>
  <c r="B6" i="14"/>
  <c r="B7" i="18"/>
  <c r="B25" i="3"/>
  <c r="B26" i="3" s="1"/>
  <c r="B5" i="7"/>
  <c r="B10" i="12"/>
  <c r="B11" i="12" s="1"/>
  <c r="B12" i="12" s="1"/>
  <c r="C29" i="12"/>
  <c r="B7" i="14"/>
  <c r="B8" i="18"/>
  <c r="B19" i="9"/>
  <c r="B21" i="9" s="1"/>
  <c r="D19" i="9"/>
  <c r="F19" i="9"/>
  <c r="H19" i="9"/>
  <c r="J19" i="9"/>
  <c r="L19" i="9"/>
  <c r="N19" i="9"/>
  <c r="P19" i="9"/>
  <c r="R19" i="9"/>
  <c r="T19" i="9"/>
  <c r="C19" i="9"/>
  <c r="E19" i="9"/>
  <c r="G19" i="9"/>
  <c r="I19" i="9"/>
  <c r="K19" i="9"/>
  <c r="M19" i="9"/>
  <c r="O19" i="9"/>
  <c r="Q19" i="9"/>
  <c r="S19" i="9"/>
  <c r="U19" i="9"/>
  <c r="V19" i="9"/>
  <c r="B15" i="10"/>
  <c r="C30" i="12"/>
  <c r="C31" i="12"/>
  <c r="K8" i="5"/>
  <c r="K11" i="8"/>
  <c r="K13" i="8" s="1"/>
  <c r="C18" i="8"/>
  <c r="C7" i="6"/>
  <c r="D26" i="9" l="1"/>
  <c r="E17" i="6"/>
  <c r="E19" i="6" s="1"/>
  <c r="D15" i="8"/>
  <c r="D7" i="16"/>
  <c r="D8" i="16" s="1"/>
  <c r="G15" i="8"/>
  <c r="G7" i="16"/>
  <c r="G8" i="16" s="1"/>
  <c r="J15" i="8"/>
  <c r="J7" i="16"/>
  <c r="J8" i="16" s="1"/>
  <c r="N15" i="8"/>
  <c r="N7" i="16"/>
  <c r="N8" i="16" s="1"/>
  <c r="R15" i="8"/>
  <c r="R7" i="16"/>
  <c r="R8" i="16" s="1"/>
  <c r="U15" i="8"/>
  <c r="U7" i="16"/>
  <c r="U8" i="16" s="1"/>
  <c r="V15" i="8"/>
  <c r="V7" i="16"/>
  <c r="V8" i="16" s="1"/>
  <c r="E15" i="8"/>
  <c r="E7" i="16"/>
  <c r="E8" i="16" s="1"/>
  <c r="H15" i="8"/>
  <c r="H7" i="16"/>
  <c r="H8" i="16" s="1"/>
  <c r="L15" i="8"/>
  <c r="L7" i="16"/>
  <c r="L8" i="16" s="1"/>
  <c r="O15" i="8"/>
  <c r="O7" i="16"/>
  <c r="O8" i="16" s="1"/>
  <c r="P15" i="8"/>
  <c r="P7" i="16"/>
  <c r="P8" i="16" s="1"/>
  <c r="S15" i="8"/>
  <c r="S7" i="16"/>
  <c r="S8" i="16" s="1"/>
  <c r="C15" i="8"/>
  <c r="C7" i="16"/>
  <c r="C8" i="16" s="1"/>
  <c r="F15" i="8"/>
  <c r="F7" i="16"/>
  <c r="F8" i="16" s="1"/>
  <c r="I15" i="8"/>
  <c r="I7" i="16"/>
  <c r="I8" i="16" s="1"/>
  <c r="M15" i="8"/>
  <c r="M7" i="16"/>
  <c r="M8" i="16" s="1"/>
  <c r="Q15" i="8"/>
  <c r="Q7" i="16"/>
  <c r="Q8" i="16" s="1"/>
  <c r="T15" i="8"/>
  <c r="T7" i="16"/>
  <c r="T8" i="16" s="1"/>
  <c r="E5" i="6"/>
  <c r="D6" i="9"/>
  <c r="D7" i="9" s="1"/>
  <c r="B10" i="7"/>
  <c r="C6" i="7" s="1"/>
  <c r="B24" i="9"/>
  <c r="B25" i="9" s="1"/>
  <c r="B30" i="9" s="1"/>
  <c r="B14" i="10"/>
  <c r="B18" i="10" s="1"/>
  <c r="B20" i="10" s="1"/>
  <c r="B22" i="10" s="1"/>
  <c r="B14" i="14"/>
  <c r="B11" i="17"/>
  <c r="K15" i="8"/>
  <c r="K7" i="16"/>
  <c r="K8" i="16" s="1"/>
  <c r="C6" i="18"/>
  <c r="C9" i="16"/>
  <c r="C6" i="10"/>
  <c r="C8" i="9"/>
  <c r="C9" i="9" s="1"/>
  <c r="D7" i="6"/>
  <c r="C7" i="9"/>
  <c r="B10" i="18"/>
  <c r="B16" i="18" s="1"/>
  <c r="C23" i="8"/>
  <c r="C12" i="6"/>
  <c r="D10" i="6" s="1"/>
  <c r="F17" i="6" l="1"/>
  <c r="F19" i="6" s="1"/>
  <c r="E26" i="9"/>
  <c r="D19" i="8"/>
  <c r="D16" i="8"/>
  <c r="E28" i="12"/>
  <c r="D4" i="11"/>
  <c r="D19" i="16"/>
  <c r="D10" i="16"/>
  <c r="H28" i="12"/>
  <c r="G4" i="11"/>
  <c r="G19" i="8"/>
  <c r="G16" i="8"/>
  <c r="G19" i="16"/>
  <c r="G10" i="16"/>
  <c r="J19" i="8"/>
  <c r="J4" i="11"/>
  <c r="K28" i="12"/>
  <c r="J16" i="8"/>
  <c r="J19" i="16"/>
  <c r="J10" i="16"/>
  <c r="O28" i="12"/>
  <c r="N4" i="11"/>
  <c r="N16" i="8"/>
  <c r="N19" i="8"/>
  <c r="N19" i="16"/>
  <c r="N10" i="16"/>
  <c r="R4" i="11"/>
  <c r="S28" i="12"/>
  <c r="R19" i="8"/>
  <c r="R16" i="8"/>
  <c r="R19" i="16"/>
  <c r="R10" i="16"/>
  <c r="U19" i="8"/>
  <c r="V28" i="12"/>
  <c r="U4" i="11"/>
  <c r="U16" i="8"/>
  <c r="U19" i="16"/>
  <c r="U10" i="16"/>
  <c r="W28" i="12"/>
  <c r="V4" i="11"/>
  <c r="V19" i="8"/>
  <c r="V16" i="8"/>
  <c r="V19" i="16"/>
  <c r="V10" i="16"/>
  <c r="E4" i="11"/>
  <c r="F28" i="12"/>
  <c r="E19" i="8"/>
  <c r="E16" i="8"/>
  <c r="E19" i="16"/>
  <c r="E10" i="16"/>
  <c r="H19" i="8"/>
  <c r="H4" i="11"/>
  <c r="I28" i="12"/>
  <c r="H16" i="8"/>
  <c r="H19" i="16"/>
  <c r="H10" i="16"/>
  <c r="L19" i="8"/>
  <c r="M28" i="12"/>
  <c r="L4" i="11"/>
  <c r="L16" i="8"/>
  <c r="L19" i="16"/>
  <c r="L10" i="16"/>
  <c r="O19" i="8"/>
  <c r="O4" i="11"/>
  <c r="P28" i="12"/>
  <c r="O16" i="8"/>
  <c r="O19" i="16"/>
  <c r="O10" i="16"/>
  <c r="Q28" i="12"/>
  <c r="P4" i="11"/>
  <c r="P19" i="8"/>
  <c r="P16" i="8"/>
  <c r="P19" i="16"/>
  <c r="P10" i="16"/>
  <c r="S19" i="8"/>
  <c r="S16" i="8"/>
  <c r="T28" i="12"/>
  <c r="S4" i="11"/>
  <c r="S19" i="16"/>
  <c r="S10" i="16"/>
  <c r="D28" i="12"/>
  <c r="C4" i="11"/>
  <c r="C19" i="8"/>
  <c r="C16" i="8"/>
  <c r="C19" i="16"/>
  <c r="C10" i="16"/>
  <c r="F19" i="8"/>
  <c r="G28" i="12"/>
  <c r="F4" i="11"/>
  <c r="F16" i="8"/>
  <c r="F19" i="16"/>
  <c r="F10" i="16"/>
  <c r="J28" i="12"/>
  <c r="I4" i="11"/>
  <c r="I19" i="8"/>
  <c r="I16" i="8"/>
  <c r="I19" i="16"/>
  <c r="I10" i="16"/>
  <c r="M16" i="8"/>
  <c r="M4" i="11"/>
  <c r="N28" i="12"/>
  <c r="M19" i="8"/>
  <c r="M19" i="16"/>
  <c r="M10" i="16"/>
  <c r="Q19" i="8"/>
  <c r="R28" i="12"/>
  <c r="Q4" i="11"/>
  <c r="Q16" i="8"/>
  <c r="Q19" i="16"/>
  <c r="Q10" i="16"/>
  <c r="T4" i="11"/>
  <c r="U28" i="12"/>
  <c r="T19" i="8"/>
  <c r="T16" i="8"/>
  <c r="T19" i="16"/>
  <c r="T10" i="16"/>
  <c r="E6" i="9"/>
  <c r="F5" i="6"/>
  <c r="C7" i="7"/>
  <c r="C11" i="7"/>
  <c r="C10" i="7"/>
  <c r="B12" i="17"/>
  <c r="B13" i="17" s="1"/>
  <c r="B14" i="17"/>
  <c r="C21" i="10"/>
  <c r="B13" i="9"/>
  <c r="B14" i="9" s="1"/>
  <c r="L28" i="12"/>
  <c r="K4" i="11"/>
  <c r="K19" i="8"/>
  <c r="K16" i="8"/>
  <c r="K19" i="16"/>
  <c r="K10" i="16"/>
  <c r="E7" i="6"/>
  <c r="D8" i="9"/>
  <c r="D9" i="9" s="1"/>
  <c r="D11" i="6"/>
  <c r="D23" i="8" s="1"/>
  <c r="D12" i="6"/>
  <c r="E10" i="6" s="1"/>
  <c r="F26" i="9" l="1"/>
  <c r="G17" i="6"/>
  <c r="G19" i="6" s="1"/>
  <c r="B5" i="13"/>
  <c r="D30" i="12"/>
  <c r="B17" i="12"/>
  <c r="B23" i="14" s="1"/>
  <c r="D31" i="12"/>
  <c r="B16" i="12"/>
  <c r="B22" i="14" s="1"/>
  <c r="G5" i="6"/>
  <c r="F6" i="9"/>
  <c r="C9" i="7"/>
  <c r="C7" i="11" s="1"/>
  <c r="C21" i="8"/>
  <c r="C22" i="8" s="1"/>
  <c r="C14" i="18"/>
  <c r="C15" i="18" s="1"/>
  <c r="C16" i="10"/>
  <c r="D6" i="7"/>
  <c r="B15" i="9"/>
  <c r="B31" i="9" s="1"/>
  <c r="B5" i="17"/>
  <c r="E8" i="9"/>
  <c r="E9" i="9" s="1"/>
  <c r="F7" i="6"/>
  <c r="E11" i="6"/>
  <c r="E7" i="9"/>
  <c r="G26" i="9" l="1"/>
  <c r="H17" i="6"/>
  <c r="H19" i="6" s="1"/>
  <c r="B18" i="12"/>
  <c r="B26" i="14" s="1"/>
  <c r="E30" i="12"/>
  <c r="F30" i="12" s="1"/>
  <c r="G30" i="12" s="1"/>
  <c r="H30" i="12" s="1"/>
  <c r="I30" i="12" s="1"/>
  <c r="J30" i="12" s="1"/>
  <c r="K30" i="12" s="1"/>
  <c r="L30" i="12" s="1"/>
  <c r="M30" i="12" s="1"/>
  <c r="N30" i="12" s="1"/>
  <c r="O30" i="12" s="1"/>
  <c r="P30" i="12" s="1"/>
  <c r="Q30" i="12" s="1"/>
  <c r="R30" i="12" s="1"/>
  <c r="S30" i="12" s="1"/>
  <c r="T30" i="12" s="1"/>
  <c r="U30" i="12" s="1"/>
  <c r="V30" i="12" s="1"/>
  <c r="W30" i="12" s="1"/>
  <c r="E31" i="12"/>
  <c r="G6" i="9"/>
  <c r="G7" i="9" s="1"/>
  <c r="H5" i="6"/>
  <c r="C24" i="8"/>
  <c r="C25" i="8" s="1"/>
  <c r="C15" i="17"/>
  <c r="C11" i="16"/>
  <c r="C12" i="16" s="1"/>
  <c r="C14" i="16" s="1"/>
  <c r="D8" i="7"/>
  <c r="D10" i="7" s="1"/>
  <c r="D7" i="7"/>
  <c r="B7" i="17"/>
  <c r="B8" i="17"/>
  <c r="G7" i="6"/>
  <c r="F8" i="9"/>
  <c r="F9" i="9" s="1"/>
  <c r="F7" i="9"/>
  <c r="E23" i="8"/>
  <c r="E12" i="6"/>
  <c r="F10" i="6" s="1"/>
  <c r="H26" i="9" l="1"/>
  <c r="I17" i="6"/>
  <c r="I19" i="6" s="1"/>
  <c r="H6" i="9"/>
  <c r="I5" i="6"/>
  <c r="C26" i="8"/>
  <c r="C5" i="11"/>
  <c r="C6" i="11" s="1"/>
  <c r="C8" i="11" s="1"/>
  <c r="C15" i="16"/>
  <c r="C16" i="16" s="1"/>
  <c r="C20" i="16" s="1"/>
  <c r="C24" i="9"/>
  <c r="D14" i="18"/>
  <c r="D15" i="18" s="1"/>
  <c r="D16" i="10"/>
  <c r="E6" i="7"/>
  <c r="D9" i="7"/>
  <c r="D21" i="8"/>
  <c r="G8" i="9"/>
  <c r="G9" i="9" s="1"/>
  <c r="H7" i="6"/>
  <c r="F11" i="6"/>
  <c r="F31" i="12"/>
  <c r="G31" i="12" s="1"/>
  <c r="H31" i="12" s="1"/>
  <c r="I31" i="12" s="1"/>
  <c r="J31" i="12" s="1"/>
  <c r="K31" i="12" s="1"/>
  <c r="L31" i="12" s="1"/>
  <c r="M31" i="12" s="1"/>
  <c r="N31" i="12" s="1"/>
  <c r="O31" i="12" s="1"/>
  <c r="P31" i="12" s="1"/>
  <c r="Q31" i="12" s="1"/>
  <c r="R31" i="12" s="1"/>
  <c r="S31" i="12" s="1"/>
  <c r="T31" i="12" s="1"/>
  <c r="U31" i="12" s="1"/>
  <c r="V31" i="12" s="1"/>
  <c r="W31" i="12" s="1"/>
  <c r="B19" i="12"/>
  <c r="I26" i="9" l="1"/>
  <c r="J17" i="6"/>
  <c r="J19" i="6" s="1"/>
  <c r="J5" i="6"/>
  <c r="I6" i="9"/>
  <c r="I7" i="9" s="1"/>
  <c r="C5" i="18"/>
  <c r="C10" i="18" s="1"/>
  <c r="C16" i="18" s="1"/>
  <c r="D29" i="12"/>
  <c r="C5" i="10"/>
  <c r="C7" i="10" s="1"/>
  <c r="C20" i="9"/>
  <c r="C27" i="8"/>
  <c r="C9" i="11"/>
  <c r="C16" i="17"/>
  <c r="C28" i="9"/>
  <c r="C29" i="9" s="1"/>
  <c r="C6" i="17" s="1"/>
  <c r="C25" i="9"/>
  <c r="E8" i="7"/>
  <c r="E10" i="7" s="1"/>
  <c r="E7" i="7"/>
  <c r="C13" i="7"/>
  <c r="C12" i="9" s="1"/>
  <c r="D7" i="11"/>
  <c r="D22" i="8"/>
  <c r="D24" i="8"/>
  <c r="D25" i="8" s="1"/>
  <c r="D15" i="17"/>
  <c r="D11" i="16"/>
  <c r="D12" i="16" s="1"/>
  <c r="D14" i="16" s="1"/>
  <c r="I7" i="6"/>
  <c r="H8" i="9"/>
  <c r="H9" i="9" s="1"/>
  <c r="H7" i="9"/>
  <c r="F23" i="8"/>
  <c r="F12" i="6"/>
  <c r="G10" i="6" s="1"/>
  <c r="J26" i="9" l="1"/>
  <c r="K17" i="6"/>
  <c r="K19" i="6" s="1"/>
  <c r="J6" i="9"/>
  <c r="J7" i="9" s="1"/>
  <c r="K5" i="6"/>
  <c r="C21" i="9"/>
  <c r="C14" i="17"/>
  <c r="C12" i="17"/>
  <c r="D24" i="9"/>
  <c r="E14" i="18"/>
  <c r="E15" i="18" s="1"/>
  <c r="E16" i="10"/>
  <c r="E9" i="7"/>
  <c r="E21" i="8"/>
  <c r="F6" i="7"/>
  <c r="C17" i="10"/>
  <c r="C18" i="10" s="1"/>
  <c r="C20" i="10" s="1"/>
  <c r="C22" i="10" s="1"/>
  <c r="F18" i="13"/>
  <c r="G18" i="13" s="1"/>
  <c r="F19" i="13"/>
  <c r="G19" i="13" s="1"/>
  <c r="F20" i="13"/>
  <c r="G20" i="13" s="1"/>
  <c r="F21" i="13"/>
  <c r="G21" i="13" s="1"/>
  <c r="F22" i="13"/>
  <c r="G22" i="13" s="1"/>
  <c r="F17" i="13"/>
  <c r="G17" i="13" s="1"/>
  <c r="B7" i="13"/>
  <c r="B9" i="13" s="1"/>
  <c r="B10" i="13" s="1"/>
  <c r="B11" i="13" s="1"/>
  <c r="B12" i="13" s="1"/>
  <c r="B13" i="13" s="1"/>
  <c r="B19" i="14" s="1"/>
  <c r="D5" i="11"/>
  <c r="D6" i="11" s="1"/>
  <c r="D8" i="11" s="1"/>
  <c r="D9" i="11" s="1"/>
  <c r="D15" i="16"/>
  <c r="D16" i="16" s="1"/>
  <c r="D20" i="16" s="1"/>
  <c r="I8" i="9"/>
  <c r="I9" i="9" s="1"/>
  <c r="J7" i="6"/>
  <c r="G11" i="6"/>
  <c r="D26" i="8"/>
  <c r="D20" i="9" s="1"/>
  <c r="K26" i="9" l="1"/>
  <c r="L17" i="6"/>
  <c r="L19" i="6" s="1"/>
  <c r="L5" i="6"/>
  <c r="K6" i="9"/>
  <c r="K7" i="9" s="1"/>
  <c r="C20" i="17"/>
  <c r="C19" i="17"/>
  <c r="C11" i="17"/>
  <c r="C13" i="17" s="1"/>
  <c r="C30" i="9"/>
  <c r="D21" i="9"/>
  <c r="D28" i="9"/>
  <c r="D29" i="9" s="1"/>
  <c r="D6" i="17" s="1"/>
  <c r="D25" i="9"/>
  <c r="E7" i="11"/>
  <c r="D13" i="7"/>
  <c r="D12" i="9" s="1"/>
  <c r="E22" i="8"/>
  <c r="E24" i="8"/>
  <c r="E25" i="8" s="1"/>
  <c r="E15" i="17"/>
  <c r="E11" i="16"/>
  <c r="E12" i="16" s="1"/>
  <c r="E14" i="16" s="1"/>
  <c r="F8" i="7"/>
  <c r="F10" i="7" s="1"/>
  <c r="F7" i="7"/>
  <c r="D21" i="10"/>
  <c r="C13" i="9"/>
  <c r="C14" i="9" s="1"/>
  <c r="D16" i="17"/>
  <c r="K7" i="6"/>
  <c r="J8" i="9"/>
  <c r="J9" i="9" s="1"/>
  <c r="D27" i="8"/>
  <c r="D5" i="10"/>
  <c r="D7" i="10" s="1"/>
  <c r="E29" i="12"/>
  <c r="D5" i="18"/>
  <c r="D10" i="18" s="1"/>
  <c r="D16" i="18" s="1"/>
  <c r="G23" i="8"/>
  <c r="G12" i="6"/>
  <c r="H10" i="6" s="1"/>
  <c r="M17" i="6" l="1"/>
  <c r="M19" i="6" s="1"/>
  <c r="L26" i="9"/>
  <c r="L6" i="9"/>
  <c r="L7" i="9" s="1"/>
  <c r="M5" i="6"/>
  <c r="D20" i="17"/>
  <c r="D19" i="17"/>
  <c r="D11" i="17"/>
  <c r="D30" i="9"/>
  <c r="D14" i="17"/>
  <c r="D12" i="17"/>
  <c r="D13" i="17" s="1"/>
  <c r="D17" i="10"/>
  <c r="D18" i="10" s="1"/>
  <c r="D20" i="10" s="1"/>
  <c r="D22" i="10" s="1"/>
  <c r="D13" i="9" s="1"/>
  <c r="D14" i="9" s="1"/>
  <c r="E15" i="16"/>
  <c r="E16" i="16" s="1"/>
  <c r="E20" i="16" s="1"/>
  <c r="E5" i="11"/>
  <c r="E6" i="11" s="1"/>
  <c r="E8" i="11" s="1"/>
  <c r="E24" i="9"/>
  <c r="F14" i="18"/>
  <c r="F15" i="18" s="1"/>
  <c r="F16" i="10"/>
  <c r="G6" i="7"/>
  <c r="F21" i="8"/>
  <c r="F9" i="7"/>
  <c r="E21" i="10"/>
  <c r="C17" i="18"/>
  <c r="C5" i="17"/>
  <c r="C15" i="9"/>
  <c r="C31" i="9" s="1"/>
  <c r="L7" i="6"/>
  <c r="K8" i="9"/>
  <c r="K9" i="9" s="1"/>
  <c r="H11" i="6"/>
  <c r="E26" i="8"/>
  <c r="N17" i="6" l="1"/>
  <c r="N19" i="6" s="1"/>
  <c r="M26" i="9"/>
  <c r="M6" i="9"/>
  <c r="M7" i="9" s="1"/>
  <c r="N5" i="6"/>
  <c r="D15" i="9"/>
  <c r="D31" i="9" s="1"/>
  <c r="D5" i="17"/>
  <c r="D17" i="18"/>
  <c r="E9" i="11"/>
  <c r="E16" i="17"/>
  <c r="E28" i="9"/>
  <c r="E29" i="9" s="1"/>
  <c r="E6" i="17" s="1"/>
  <c r="E25" i="9"/>
  <c r="G8" i="7"/>
  <c r="G7" i="7"/>
  <c r="G10" i="7"/>
  <c r="F22" i="8"/>
  <c r="F24" i="8"/>
  <c r="F25" i="8" s="1"/>
  <c r="F15" i="17"/>
  <c r="F11" i="16"/>
  <c r="F12" i="16" s="1"/>
  <c r="F14" i="16" s="1"/>
  <c r="E13" i="7"/>
  <c r="E12" i="9" s="1"/>
  <c r="F7" i="11"/>
  <c r="C7" i="17"/>
  <c r="C8" i="17"/>
  <c r="L8" i="9"/>
  <c r="L9" i="9" s="1"/>
  <c r="M7" i="6"/>
  <c r="E27" i="8"/>
  <c r="E5" i="10"/>
  <c r="E7" i="10" s="1"/>
  <c r="F29" i="12"/>
  <c r="E5" i="18"/>
  <c r="E10" i="18" s="1"/>
  <c r="E16" i="18" s="1"/>
  <c r="E20" i="9"/>
  <c r="H23" i="8"/>
  <c r="H12" i="6"/>
  <c r="I10" i="6" s="1"/>
  <c r="N26" i="9" l="1"/>
  <c r="O17" i="6"/>
  <c r="O19" i="6" s="1"/>
  <c r="O5" i="6"/>
  <c r="N6" i="9"/>
  <c r="N7" i="9" s="1"/>
  <c r="D7" i="17"/>
  <c r="D8" i="17"/>
  <c r="E14" i="17"/>
  <c r="E12" i="17"/>
  <c r="F24" i="9"/>
  <c r="G14" i="18"/>
  <c r="G15" i="18" s="1"/>
  <c r="G16" i="10"/>
  <c r="G9" i="7"/>
  <c r="G21" i="8"/>
  <c r="H6" i="7"/>
  <c r="F15" i="16"/>
  <c r="F16" i="16" s="1"/>
  <c r="F20" i="16" s="1"/>
  <c r="F5" i="11"/>
  <c r="F6" i="11" s="1"/>
  <c r="F8" i="11" s="1"/>
  <c r="E17" i="10"/>
  <c r="E18" i="10" s="1"/>
  <c r="E20" i="10" s="1"/>
  <c r="E22" i="10" s="1"/>
  <c r="N7" i="6"/>
  <c r="M8" i="9"/>
  <c r="M9" i="9" s="1"/>
  <c r="E21" i="9"/>
  <c r="I11" i="6"/>
  <c r="F26" i="8"/>
  <c r="F20" i="9" s="1"/>
  <c r="O26" i="9" l="1"/>
  <c r="P17" i="6"/>
  <c r="P19" i="6" s="1"/>
  <c r="O6" i="9"/>
  <c r="O7" i="9" s="1"/>
  <c r="P5" i="6"/>
  <c r="F28" i="9"/>
  <c r="F29" i="9" s="1"/>
  <c r="F6" i="17" s="1"/>
  <c r="F25" i="9"/>
  <c r="G7" i="11"/>
  <c r="F13" i="7"/>
  <c r="F12" i="9" s="1"/>
  <c r="G22" i="8"/>
  <c r="G24" i="8"/>
  <c r="G25" i="8" s="1"/>
  <c r="G15" i="17"/>
  <c r="G11" i="16"/>
  <c r="G12" i="16" s="1"/>
  <c r="G14" i="16" s="1"/>
  <c r="H8" i="7"/>
  <c r="H7" i="7"/>
  <c r="H10" i="7"/>
  <c r="F9" i="11"/>
  <c r="F16" i="17"/>
  <c r="E13" i="9"/>
  <c r="E14" i="9" s="1"/>
  <c r="F21" i="10"/>
  <c r="O7" i="6"/>
  <c r="N8" i="9"/>
  <c r="N9" i="9" s="1"/>
  <c r="F21" i="9"/>
  <c r="E20" i="17"/>
  <c r="E19" i="17"/>
  <c r="E11" i="17"/>
  <c r="E13" i="17" s="1"/>
  <c r="E30" i="9"/>
  <c r="F27" i="8"/>
  <c r="F5" i="10"/>
  <c r="F7" i="10" s="1"/>
  <c r="G29" i="12"/>
  <c r="F5" i="18"/>
  <c r="F10" i="18" s="1"/>
  <c r="F16" i="18" s="1"/>
  <c r="I23" i="8"/>
  <c r="I12" i="6"/>
  <c r="J10" i="6" s="1"/>
  <c r="Q17" i="6" l="1"/>
  <c r="Q19" i="6" s="1"/>
  <c r="P26" i="9"/>
  <c r="P6" i="9"/>
  <c r="P7" i="9" s="1"/>
  <c r="Q5" i="6"/>
  <c r="F14" i="17"/>
  <c r="F12" i="17"/>
  <c r="F13" i="17" s="1"/>
  <c r="F17" i="10"/>
  <c r="F18" i="10" s="1"/>
  <c r="F20" i="10" s="1"/>
  <c r="F22" i="10" s="1"/>
  <c r="G5" i="11"/>
  <c r="G6" i="11" s="1"/>
  <c r="G8" i="11" s="1"/>
  <c r="G15" i="16"/>
  <c r="G16" i="16" s="1"/>
  <c r="G20" i="16" s="1"/>
  <c r="G24" i="9"/>
  <c r="H14" i="18"/>
  <c r="H15" i="18" s="1"/>
  <c r="H16" i="10"/>
  <c r="H9" i="7"/>
  <c r="H21" i="8"/>
  <c r="I6" i="7"/>
  <c r="E17" i="18"/>
  <c r="E5" i="17"/>
  <c r="E15" i="9"/>
  <c r="E31" i="9" s="1"/>
  <c r="O8" i="9"/>
  <c r="O9" i="9" s="1"/>
  <c r="P7" i="6"/>
  <c r="F20" i="17"/>
  <c r="F19" i="17"/>
  <c r="F11" i="17"/>
  <c r="F30" i="9"/>
  <c r="J11" i="6"/>
  <c r="G26" i="8"/>
  <c r="R17" i="6" l="1"/>
  <c r="R19" i="6" s="1"/>
  <c r="Q26" i="9"/>
  <c r="R5" i="6"/>
  <c r="Q6" i="9"/>
  <c r="Q7" i="9" s="1"/>
  <c r="G9" i="11"/>
  <c r="G16" i="17"/>
  <c r="G28" i="9"/>
  <c r="G29" i="9" s="1"/>
  <c r="G6" i="17" s="1"/>
  <c r="G25" i="9"/>
  <c r="H7" i="11"/>
  <c r="G13" i="7"/>
  <c r="G12" i="9" s="1"/>
  <c r="H22" i="8"/>
  <c r="H24" i="8"/>
  <c r="H25" i="8" s="1"/>
  <c r="H15" i="17"/>
  <c r="H11" i="16"/>
  <c r="H12" i="16" s="1"/>
  <c r="H14" i="16" s="1"/>
  <c r="I8" i="7"/>
  <c r="I10" i="7" s="1"/>
  <c r="I7" i="7"/>
  <c r="E7" i="17"/>
  <c r="E8" i="17"/>
  <c r="Q7" i="6"/>
  <c r="P8" i="9"/>
  <c r="P9" i="9" s="1"/>
  <c r="G27" i="8"/>
  <c r="G5" i="10"/>
  <c r="G7" i="10" s="1"/>
  <c r="H29" i="12"/>
  <c r="G5" i="18"/>
  <c r="G10" i="18" s="1"/>
  <c r="G16" i="18" s="1"/>
  <c r="G20" i="9"/>
  <c r="F13" i="9"/>
  <c r="F14" i="9" s="1"/>
  <c r="G21" i="10"/>
  <c r="J23" i="8"/>
  <c r="J12" i="6"/>
  <c r="K10" i="6" s="1"/>
  <c r="R26" i="9" l="1"/>
  <c r="S17" i="6"/>
  <c r="S19" i="6" s="1"/>
  <c r="R6" i="9"/>
  <c r="R7" i="9" s="1"/>
  <c r="S5" i="6"/>
  <c r="G14" i="17"/>
  <c r="G12" i="17"/>
  <c r="G17" i="10"/>
  <c r="G18" i="10" s="1"/>
  <c r="G20" i="10" s="1"/>
  <c r="G22" i="10" s="1"/>
  <c r="H15" i="16"/>
  <c r="H16" i="16" s="1"/>
  <c r="H20" i="16" s="1"/>
  <c r="H5" i="11"/>
  <c r="H6" i="11" s="1"/>
  <c r="H8" i="11" s="1"/>
  <c r="H24" i="9"/>
  <c r="I14" i="18"/>
  <c r="I15" i="18" s="1"/>
  <c r="I16" i="10"/>
  <c r="J6" i="7"/>
  <c r="I9" i="7"/>
  <c r="I21" i="8"/>
  <c r="R7" i="6"/>
  <c r="Q8" i="9"/>
  <c r="Q9" i="9" s="1"/>
  <c r="G21" i="9"/>
  <c r="F17" i="18"/>
  <c r="F5" i="17"/>
  <c r="F15" i="9"/>
  <c r="F31" i="9" s="1"/>
  <c r="K11" i="6"/>
  <c r="K23" i="8" s="1"/>
  <c r="K12" i="6"/>
  <c r="L10" i="6" s="1"/>
  <c r="H26" i="8"/>
  <c r="H20" i="9" s="1"/>
  <c r="S26" i="9" l="1"/>
  <c r="T17" i="6"/>
  <c r="T19" i="6" s="1"/>
  <c r="S6" i="9"/>
  <c r="T5" i="6"/>
  <c r="H9" i="11"/>
  <c r="H16" i="17"/>
  <c r="H28" i="9"/>
  <c r="H29" i="9" s="1"/>
  <c r="H6" i="17" s="1"/>
  <c r="H25" i="9"/>
  <c r="J8" i="7"/>
  <c r="J10" i="7" s="1"/>
  <c r="J7" i="7"/>
  <c r="H13" i="7"/>
  <c r="H12" i="9" s="1"/>
  <c r="I7" i="11"/>
  <c r="I22" i="8"/>
  <c r="I24" i="8"/>
  <c r="I25" i="8" s="1"/>
  <c r="I15" i="17"/>
  <c r="I11" i="16"/>
  <c r="I12" i="16" s="1"/>
  <c r="I14" i="16" s="1"/>
  <c r="R8" i="9"/>
  <c r="R9" i="9" s="1"/>
  <c r="S7" i="6"/>
  <c r="H21" i="9"/>
  <c r="G20" i="17"/>
  <c r="G19" i="17"/>
  <c r="G11" i="17"/>
  <c r="G13" i="17" s="1"/>
  <c r="G30" i="9"/>
  <c r="F7" i="17"/>
  <c r="F8" i="17"/>
  <c r="L11" i="6"/>
  <c r="H27" i="8"/>
  <c r="H5" i="10"/>
  <c r="H7" i="10" s="1"/>
  <c r="I29" i="12"/>
  <c r="H5" i="18"/>
  <c r="H10" i="18" s="1"/>
  <c r="H16" i="18" s="1"/>
  <c r="H21" i="10"/>
  <c r="G13" i="9"/>
  <c r="G14" i="9" s="1"/>
  <c r="T26" i="9" l="1"/>
  <c r="U17" i="6"/>
  <c r="U19" i="6" s="1"/>
  <c r="U5" i="6"/>
  <c r="T6" i="9"/>
  <c r="H14" i="17"/>
  <c r="H12" i="17"/>
  <c r="I24" i="9"/>
  <c r="J14" i="18"/>
  <c r="J15" i="18" s="1"/>
  <c r="J16" i="10"/>
  <c r="J9" i="7"/>
  <c r="J21" i="8"/>
  <c r="K6" i="7"/>
  <c r="H17" i="10"/>
  <c r="H18" i="10" s="1"/>
  <c r="H20" i="10" s="1"/>
  <c r="H22" i="10" s="1"/>
  <c r="I15" i="16"/>
  <c r="I16" i="16" s="1"/>
  <c r="I20" i="16" s="1"/>
  <c r="I5" i="11"/>
  <c r="I6" i="11" s="1"/>
  <c r="I8" i="11" s="1"/>
  <c r="T7" i="6"/>
  <c r="S8" i="9"/>
  <c r="S9" i="9" s="1"/>
  <c r="H20" i="17"/>
  <c r="H19" i="17"/>
  <c r="H11" i="17"/>
  <c r="H30" i="9"/>
  <c r="I21" i="10"/>
  <c r="H13" i="9"/>
  <c r="H14" i="9" s="1"/>
  <c r="G17" i="18"/>
  <c r="G5" i="17"/>
  <c r="G15" i="9"/>
  <c r="G31" i="9" s="1"/>
  <c r="I26" i="8"/>
  <c r="S7" i="9"/>
  <c r="L23" i="8"/>
  <c r="L12" i="6"/>
  <c r="M10" i="6" s="1"/>
  <c r="V17" i="6" l="1"/>
  <c r="V19" i="6" s="1"/>
  <c r="V26" i="9" s="1"/>
  <c r="U26" i="9"/>
  <c r="V5" i="6"/>
  <c r="V6" i="9" s="1"/>
  <c r="U6" i="9"/>
  <c r="I28" i="9"/>
  <c r="I29" i="9" s="1"/>
  <c r="I6" i="17" s="1"/>
  <c r="I25" i="9"/>
  <c r="J7" i="11"/>
  <c r="J9" i="11" s="1"/>
  <c r="I13" i="7"/>
  <c r="I12" i="9" s="1"/>
  <c r="J22" i="8"/>
  <c r="J24" i="8"/>
  <c r="J25" i="8" s="1"/>
  <c r="J15" i="17"/>
  <c r="J11" i="16"/>
  <c r="J12" i="16" s="1"/>
  <c r="J14" i="16" s="1"/>
  <c r="K8" i="7"/>
  <c r="K10" i="7" s="1"/>
  <c r="K7" i="7"/>
  <c r="H15" i="9"/>
  <c r="H31" i="9" s="1"/>
  <c r="H5" i="17"/>
  <c r="H17" i="18"/>
  <c r="I9" i="11"/>
  <c r="I16" i="17"/>
  <c r="U7" i="6"/>
  <c r="T8" i="9"/>
  <c r="T9" i="9" s="1"/>
  <c r="G7" i="17"/>
  <c r="G8" i="17"/>
  <c r="I27" i="8"/>
  <c r="I5" i="10"/>
  <c r="I7" i="10" s="1"/>
  <c r="J29" i="12"/>
  <c r="I5" i="18"/>
  <c r="I10" i="18" s="1"/>
  <c r="I16" i="18" s="1"/>
  <c r="I20" i="9"/>
  <c r="M11" i="6"/>
  <c r="T7" i="9"/>
  <c r="H13" i="17"/>
  <c r="I14" i="17" l="1"/>
  <c r="I12" i="17"/>
  <c r="I17" i="10"/>
  <c r="I18" i="10" s="1"/>
  <c r="I20" i="10" s="1"/>
  <c r="I22" i="10" s="1"/>
  <c r="J15" i="16"/>
  <c r="J16" i="16" s="1"/>
  <c r="J20" i="16" s="1"/>
  <c r="J5" i="11"/>
  <c r="J6" i="11" s="1"/>
  <c r="J8" i="11" s="1"/>
  <c r="J16" i="17" s="1"/>
  <c r="J24" i="9"/>
  <c r="K14" i="18"/>
  <c r="K15" i="18" s="1"/>
  <c r="K16" i="10"/>
  <c r="L6" i="7"/>
  <c r="K21" i="8"/>
  <c r="K9" i="7"/>
  <c r="H7" i="17"/>
  <c r="H8" i="17"/>
  <c r="U8" i="9"/>
  <c r="U9" i="9" s="1"/>
  <c r="V7" i="6"/>
  <c r="I21" i="9"/>
  <c r="U7" i="9"/>
  <c r="J26" i="8"/>
  <c r="J20" i="9" s="1"/>
  <c r="M23" i="8"/>
  <c r="M12" i="6"/>
  <c r="N10" i="6" s="1"/>
  <c r="J21" i="10" l="1"/>
  <c r="I13" i="9"/>
  <c r="I14" i="9" s="1"/>
  <c r="J28" i="9"/>
  <c r="J29" i="9" s="1"/>
  <c r="J6" i="17" s="1"/>
  <c r="J25" i="9"/>
  <c r="L8" i="7"/>
  <c r="L10" i="7" s="1"/>
  <c r="L7" i="7"/>
  <c r="K22" i="8"/>
  <c r="K24" i="8"/>
  <c r="K25" i="8" s="1"/>
  <c r="K15" i="17"/>
  <c r="K11" i="16"/>
  <c r="K12" i="16" s="1"/>
  <c r="K14" i="16" s="1"/>
  <c r="K7" i="11"/>
  <c r="K9" i="11" s="1"/>
  <c r="J13" i="7"/>
  <c r="J12" i="9" s="1"/>
  <c r="V7" i="9"/>
  <c r="V8" i="9"/>
  <c r="V9" i="9" s="1"/>
  <c r="J21" i="9"/>
  <c r="I20" i="17"/>
  <c r="I19" i="17"/>
  <c r="I11" i="17"/>
  <c r="I13" i="17" s="1"/>
  <c r="I30" i="9"/>
  <c r="J27" i="8"/>
  <c r="J5" i="10"/>
  <c r="J7" i="10" s="1"/>
  <c r="K29" i="12"/>
  <c r="J5" i="18"/>
  <c r="J10" i="18" s="1"/>
  <c r="J16" i="18" s="1"/>
  <c r="N11" i="6"/>
  <c r="N23" i="8" s="1"/>
  <c r="N12" i="6"/>
  <c r="O10" i="6" s="1"/>
  <c r="I17" i="18" l="1"/>
  <c r="I5" i="17"/>
  <c r="I15" i="9"/>
  <c r="I31" i="9" s="1"/>
  <c r="J14" i="17"/>
  <c r="J12" i="17"/>
  <c r="K24" i="9"/>
  <c r="L14" i="18"/>
  <c r="L15" i="18" s="1"/>
  <c r="L16" i="10"/>
  <c r="L9" i="7"/>
  <c r="L21" i="8"/>
  <c r="M6" i="7"/>
  <c r="K15" i="16"/>
  <c r="K16" i="16" s="1"/>
  <c r="K20" i="16" s="1"/>
  <c r="K5" i="11"/>
  <c r="K6" i="11" s="1"/>
  <c r="K8" i="11" s="1"/>
  <c r="K16" i="17" s="1"/>
  <c r="J17" i="10"/>
  <c r="J18" i="10" s="1"/>
  <c r="J20" i="10" s="1"/>
  <c r="J22" i="10" s="1"/>
  <c r="J20" i="17"/>
  <c r="J19" i="17"/>
  <c r="J11" i="17"/>
  <c r="J30" i="9"/>
  <c r="O11" i="6"/>
  <c r="K26" i="8"/>
  <c r="I7" i="17" l="1"/>
  <c r="I8" i="17"/>
  <c r="K28" i="9"/>
  <c r="K29" i="9" s="1"/>
  <c r="K6" i="17" s="1"/>
  <c r="K25" i="9"/>
  <c r="L7" i="11"/>
  <c r="L9" i="11" s="1"/>
  <c r="K13" i="7"/>
  <c r="K12" i="9" s="1"/>
  <c r="L22" i="8"/>
  <c r="L24" i="8"/>
  <c r="L25" i="8" s="1"/>
  <c r="L15" i="17"/>
  <c r="L11" i="16"/>
  <c r="L12" i="16" s="1"/>
  <c r="L14" i="16" s="1"/>
  <c r="M8" i="7"/>
  <c r="M10" i="7" s="1"/>
  <c r="M7" i="7"/>
  <c r="J13" i="9"/>
  <c r="J14" i="9" s="1"/>
  <c r="K21" i="10"/>
  <c r="K27" i="8"/>
  <c r="K5" i="10"/>
  <c r="K7" i="10" s="1"/>
  <c r="L29" i="12"/>
  <c r="K5" i="18"/>
  <c r="K10" i="18" s="1"/>
  <c r="K16" i="18" s="1"/>
  <c r="K20" i="9"/>
  <c r="J13" i="17"/>
  <c r="O23" i="8"/>
  <c r="O12" i="6"/>
  <c r="P10" i="6" s="1"/>
  <c r="K12" i="17" l="1"/>
  <c r="K17" i="10"/>
  <c r="K18" i="10" s="1"/>
  <c r="K20" i="10" s="1"/>
  <c r="K22" i="10" s="1"/>
  <c r="L5" i="11"/>
  <c r="L6" i="11" s="1"/>
  <c r="L8" i="11" s="1"/>
  <c r="L16" i="17" s="1"/>
  <c r="L15" i="16"/>
  <c r="L16" i="16" s="1"/>
  <c r="L20" i="16" s="1"/>
  <c r="L24" i="9"/>
  <c r="M14" i="18"/>
  <c r="M15" i="18" s="1"/>
  <c r="M16" i="10"/>
  <c r="M9" i="7"/>
  <c r="M21" i="8"/>
  <c r="N6" i="7"/>
  <c r="J17" i="18"/>
  <c r="J5" i="17"/>
  <c r="J15" i="9"/>
  <c r="J31" i="9" s="1"/>
  <c r="K13" i="9"/>
  <c r="K14" i="9" s="1"/>
  <c r="L21" i="10"/>
  <c r="L20" i="9"/>
  <c r="K21" i="9"/>
  <c r="K14" i="17" s="1"/>
  <c r="P12" i="6"/>
  <c r="Q10" i="6" s="1"/>
  <c r="P11" i="6"/>
  <c r="P23" i="8" s="1"/>
  <c r="L26" i="8"/>
  <c r="K15" i="9" l="1"/>
  <c r="K31" i="9" s="1"/>
  <c r="K5" i="17"/>
  <c r="K17" i="18"/>
  <c r="L28" i="9"/>
  <c r="L29" i="9" s="1"/>
  <c r="L6" i="17" s="1"/>
  <c r="L25" i="9"/>
  <c r="L13" i="7"/>
  <c r="L12" i="9" s="1"/>
  <c r="M7" i="11"/>
  <c r="M9" i="11" s="1"/>
  <c r="M22" i="8"/>
  <c r="M24" i="8"/>
  <c r="M25" i="8" s="1"/>
  <c r="M15" i="17"/>
  <c r="M11" i="16"/>
  <c r="M12" i="16" s="1"/>
  <c r="M14" i="16" s="1"/>
  <c r="N8" i="7"/>
  <c r="N7" i="7"/>
  <c r="N10" i="7"/>
  <c r="J7" i="17"/>
  <c r="J8" i="17"/>
  <c r="L21" i="9"/>
  <c r="K20" i="17"/>
  <c r="K19" i="17"/>
  <c r="K11" i="17"/>
  <c r="K13" i="17" s="1"/>
  <c r="K30" i="9"/>
  <c r="Q11" i="6"/>
  <c r="L27" i="8"/>
  <c r="L5" i="10"/>
  <c r="L7" i="10" s="1"/>
  <c r="M29" i="12"/>
  <c r="L5" i="18"/>
  <c r="L10" i="18" s="1"/>
  <c r="L16" i="18" s="1"/>
  <c r="K7" i="17" l="1"/>
  <c r="K8" i="17"/>
  <c r="L14" i="17"/>
  <c r="L12" i="17"/>
  <c r="L13" i="17" s="1"/>
  <c r="L17" i="10"/>
  <c r="L18" i="10" s="1"/>
  <c r="L20" i="10" s="1"/>
  <c r="L22" i="10" s="1"/>
  <c r="M15" i="16"/>
  <c r="M16" i="16" s="1"/>
  <c r="M20" i="16" s="1"/>
  <c r="M5" i="11"/>
  <c r="M6" i="11" s="1"/>
  <c r="M8" i="11" s="1"/>
  <c r="M16" i="17" s="1"/>
  <c r="M24" i="9"/>
  <c r="N14" i="18"/>
  <c r="N15" i="18" s="1"/>
  <c r="N16" i="10"/>
  <c r="N21" i="8"/>
  <c r="N9" i="7"/>
  <c r="N24" i="9"/>
  <c r="O6" i="7"/>
  <c r="L20" i="17"/>
  <c r="L19" i="17"/>
  <c r="L11" i="17"/>
  <c r="L30" i="9"/>
  <c r="M26" i="8"/>
  <c r="Q23" i="8"/>
  <c r="Q12" i="6"/>
  <c r="R10" i="6" s="1"/>
  <c r="L13" i="9" l="1"/>
  <c r="L14" i="9" s="1"/>
  <c r="M21" i="10"/>
  <c r="M28" i="9"/>
  <c r="M29" i="9" s="1"/>
  <c r="M6" i="17" s="1"/>
  <c r="M25" i="9"/>
  <c r="N22" i="8"/>
  <c r="N26" i="8" s="1"/>
  <c r="N24" i="8"/>
  <c r="N25" i="8" s="1"/>
  <c r="N15" i="17"/>
  <c r="N11" i="16"/>
  <c r="N12" i="16" s="1"/>
  <c r="N14" i="16" s="1"/>
  <c r="N7" i="11"/>
  <c r="N9" i="11" s="1"/>
  <c r="M13" i="7"/>
  <c r="M12" i="9" s="1"/>
  <c r="O10" i="7"/>
  <c r="O7" i="7"/>
  <c r="M27" i="8"/>
  <c r="M5" i="10"/>
  <c r="M7" i="10" s="1"/>
  <c r="N29" i="12"/>
  <c r="M5" i="18"/>
  <c r="M10" i="18" s="1"/>
  <c r="M16" i="18" s="1"/>
  <c r="M20" i="9"/>
  <c r="R11" i="6"/>
  <c r="N25" i="9"/>
  <c r="N28" i="9"/>
  <c r="N29" i="9" s="1"/>
  <c r="N6" i="17" s="1"/>
  <c r="L17" i="18" l="1"/>
  <c r="L5" i="17"/>
  <c r="L15" i="9"/>
  <c r="L31" i="9" s="1"/>
  <c r="M14" i="17"/>
  <c r="M12" i="17"/>
  <c r="N5" i="18"/>
  <c r="N10" i="18" s="1"/>
  <c r="N16" i="18" s="1"/>
  <c r="O29" i="12"/>
  <c r="N5" i="10"/>
  <c r="N7" i="10" s="1"/>
  <c r="N27" i="8"/>
  <c r="N15" i="16"/>
  <c r="N16" i="16" s="1"/>
  <c r="N20" i="16" s="1"/>
  <c r="N5" i="11"/>
  <c r="N6" i="11" s="1"/>
  <c r="N8" i="11" s="1"/>
  <c r="N16" i="17" s="1"/>
  <c r="M17" i="10"/>
  <c r="M18" i="10" s="1"/>
  <c r="M20" i="10" s="1"/>
  <c r="M22" i="10" s="1"/>
  <c r="O24" i="9"/>
  <c r="O25" i="9" s="1"/>
  <c r="O28" i="9"/>
  <c r="O29" i="9" s="1"/>
  <c r="O6" i="17" s="1"/>
  <c r="P6" i="7"/>
  <c r="O9" i="7"/>
  <c r="O21" i="8"/>
  <c r="N20" i="9"/>
  <c r="M21" i="9"/>
  <c r="N12" i="17"/>
  <c r="R23" i="8"/>
  <c r="R12" i="6"/>
  <c r="S10" i="6" s="1"/>
  <c r="L7" i="17" l="1"/>
  <c r="L8" i="17"/>
  <c r="N21" i="10"/>
  <c r="M13" i="9"/>
  <c r="M14" i="9" s="1"/>
  <c r="O12" i="17"/>
  <c r="P7" i="7"/>
  <c r="P10" i="7"/>
  <c r="O7" i="11"/>
  <c r="O9" i="11" s="1"/>
  <c r="N13" i="7"/>
  <c r="N12" i="9" s="1"/>
  <c r="O22" i="8"/>
  <c r="O24" i="8"/>
  <c r="O25" i="8" s="1"/>
  <c r="O15" i="17"/>
  <c r="O11" i="16"/>
  <c r="O12" i="16" s="1"/>
  <c r="O14" i="16" s="1"/>
  <c r="N21" i="9"/>
  <c r="M20" i="17"/>
  <c r="M19" i="17"/>
  <c r="M11" i="17"/>
  <c r="M13" i="17" s="1"/>
  <c r="M30" i="9"/>
  <c r="S11" i="6"/>
  <c r="M17" i="18" l="1"/>
  <c r="M5" i="17"/>
  <c r="M15" i="9"/>
  <c r="M31" i="9" s="1"/>
  <c r="P9" i="7"/>
  <c r="P21" i="8"/>
  <c r="P24" i="9"/>
  <c r="Q6" i="7"/>
  <c r="N17" i="10"/>
  <c r="N18" i="10" s="1"/>
  <c r="N20" i="10" s="1"/>
  <c r="N22" i="10" s="1"/>
  <c r="O5" i="11"/>
  <c r="O6" i="11" s="1"/>
  <c r="O8" i="11" s="1"/>
  <c r="O16" i="17" s="1"/>
  <c r="O15" i="16"/>
  <c r="O16" i="16" s="1"/>
  <c r="O20" i="16" s="1"/>
  <c r="N14" i="17"/>
  <c r="N20" i="17"/>
  <c r="N19" i="17"/>
  <c r="N11" i="17"/>
  <c r="N13" i="17" s="1"/>
  <c r="N30" i="9"/>
  <c r="O26" i="8"/>
  <c r="S23" i="8"/>
  <c r="S12" i="6"/>
  <c r="T10" i="6" s="1"/>
  <c r="M7" i="17" l="1"/>
  <c r="M8" i="17"/>
  <c r="P7" i="11"/>
  <c r="P9" i="11" s="1"/>
  <c r="O13" i="7"/>
  <c r="O12" i="9" s="1"/>
  <c r="P22" i="8"/>
  <c r="P26" i="8" s="1"/>
  <c r="P24" i="8"/>
  <c r="P25" i="8" s="1"/>
  <c r="P15" i="17"/>
  <c r="P11" i="16"/>
  <c r="P12" i="16" s="1"/>
  <c r="P14" i="16" s="1"/>
  <c r="Q10" i="7"/>
  <c r="Q7" i="7"/>
  <c r="O21" i="10"/>
  <c r="N13" i="9"/>
  <c r="N14" i="9" s="1"/>
  <c r="O27" i="8"/>
  <c r="O5" i="10"/>
  <c r="O7" i="10" s="1"/>
  <c r="P29" i="12"/>
  <c r="O5" i="18"/>
  <c r="O10" i="18" s="1"/>
  <c r="O16" i="18" s="1"/>
  <c r="O20" i="9"/>
  <c r="T11" i="6"/>
  <c r="T23" i="8" s="1"/>
  <c r="T12" i="6"/>
  <c r="U10" i="6" s="1"/>
  <c r="P25" i="9"/>
  <c r="P28" i="9"/>
  <c r="P29" i="9" s="1"/>
  <c r="P6" i="17" s="1"/>
  <c r="O17" i="10" l="1"/>
  <c r="O18" i="10" s="1"/>
  <c r="O20" i="10" s="1"/>
  <c r="O22" i="10" s="1"/>
  <c r="P5" i="18"/>
  <c r="P10" i="18" s="1"/>
  <c r="P16" i="18" s="1"/>
  <c r="Q29" i="12"/>
  <c r="P5" i="10"/>
  <c r="P7" i="10" s="1"/>
  <c r="P27" i="8"/>
  <c r="P15" i="16"/>
  <c r="P16" i="16" s="1"/>
  <c r="P20" i="16" s="1"/>
  <c r="P5" i="11"/>
  <c r="P6" i="11" s="1"/>
  <c r="P8" i="11" s="1"/>
  <c r="P16" i="17" s="1"/>
  <c r="R6" i="7"/>
  <c r="Q24" i="9"/>
  <c r="Q25" i="9" s="1"/>
  <c r="Q28" i="9"/>
  <c r="Q29" i="9" s="1"/>
  <c r="Q6" i="17" s="1"/>
  <c r="Q21" i="8"/>
  <c r="Q9" i="7"/>
  <c r="O13" i="9"/>
  <c r="O14" i="9" s="1"/>
  <c r="P21" i="10"/>
  <c r="P20" i="9"/>
  <c r="O21" i="9"/>
  <c r="U11" i="6"/>
  <c r="U23" i="8" s="1"/>
  <c r="U12" i="6"/>
  <c r="V10" i="6" s="1"/>
  <c r="P12" i="17"/>
  <c r="N15" i="9"/>
  <c r="N31" i="9" s="1"/>
  <c r="N5" i="17"/>
  <c r="N17" i="18"/>
  <c r="O15" i="9" l="1"/>
  <c r="O5" i="17"/>
  <c r="O17" i="18"/>
  <c r="R7" i="7"/>
  <c r="R10" i="7"/>
  <c r="Q12" i="17"/>
  <c r="Q22" i="8"/>
  <c r="Q24" i="8"/>
  <c r="Q25" i="8" s="1"/>
  <c r="Q15" i="17"/>
  <c r="Q11" i="16"/>
  <c r="Q12" i="16" s="1"/>
  <c r="Q14" i="16" s="1"/>
  <c r="Q7" i="11"/>
  <c r="Q9" i="11" s="1"/>
  <c r="P13" i="7"/>
  <c r="P12" i="9" s="1"/>
  <c r="P21" i="9"/>
  <c r="O20" i="17"/>
  <c r="O14" i="17"/>
  <c r="O19" i="17"/>
  <c r="O11" i="17"/>
  <c r="O13" i="17" s="1"/>
  <c r="O30" i="9"/>
  <c r="V11" i="6"/>
  <c r="N8" i="17"/>
  <c r="N7" i="17"/>
  <c r="O7" i="17" l="1"/>
  <c r="O8" i="17"/>
  <c r="R9" i="7"/>
  <c r="R21" i="8"/>
  <c r="R24" i="9"/>
  <c r="S6" i="7"/>
  <c r="Q5" i="11"/>
  <c r="Q6" i="11" s="1"/>
  <c r="Q8" i="11" s="1"/>
  <c r="Q16" i="17" s="1"/>
  <c r="Q15" i="16"/>
  <c r="Q16" i="16" s="1"/>
  <c r="Q20" i="16" s="1"/>
  <c r="P17" i="10"/>
  <c r="P18" i="10" s="1"/>
  <c r="P20" i="10" s="1"/>
  <c r="P22" i="10" s="1"/>
  <c r="P14" i="17"/>
  <c r="P20" i="17"/>
  <c r="P19" i="17"/>
  <c r="P11" i="17"/>
  <c r="P13" i="17" s="1"/>
  <c r="P30" i="9"/>
  <c r="O31" i="9"/>
  <c r="Q26" i="8"/>
  <c r="V23" i="8"/>
  <c r="V12" i="6"/>
  <c r="R7" i="11" l="1"/>
  <c r="R9" i="11" s="1"/>
  <c r="Q13" i="7"/>
  <c r="Q12" i="9" s="1"/>
  <c r="R22" i="8"/>
  <c r="R24" i="8"/>
  <c r="R25" i="8" s="1"/>
  <c r="R15" i="17"/>
  <c r="R11" i="16"/>
  <c r="R12" i="16" s="1"/>
  <c r="R14" i="16" s="1"/>
  <c r="S7" i="7"/>
  <c r="S10" i="7"/>
  <c r="P13" i="9"/>
  <c r="P14" i="9" s="1"/>
  <c r="Q21" i="10"/>
  <c r="P15" i="9"/>
  <c r="P31" i="9" s="1"/>
  <c r="P5" i="17"/>
  <c r="P17" i="18"/>
  <c r="Q27" i="8"/>
  <c r="Q5" i="10"/>
  <c r="Q7" i="10" s="1"/>
  <c r="R29" i="12"/>
  <c r="Q5" i="18"/>
  <c r="Q10" i="18" s="1"/>
  <c r="Q16" i="18" s="1"/>
  <c r="Q20" i="9"/>
  <c r="R25" i="9"/>
  <c r="R28" i="9"/>
  <c r="R29" i="9" s="1"/>
  <c r="R6" i="17" s="1"/>
  <c r="Q17" i="10" l="1"/>
  <c r="Q18" i="10" s="1"/>
  <c r="Q20" i="10" s="1"/>
  <c r="Q22" i="10" s="1"/>
  <c r="R15" i="16"/>
  <c r="R16" i="16" s="1"/>
  <c r="R20" i="16" s="1"/>
  <c r="R5" i="11"/>
  <c r="R6" i="11" s="1"/>
  <c r="R8" i="11" s="1"/>
  <c r="R16" i="17" s="1"/>
  <c r="S9" i="7"/>
  <c r="S21" i="8"/>
  <c r="T6" i="7"/>
  <c r="S24" i="9"/>
  <c r="S25" i="9" s="1"/>
  <c r="S28" i="9"/>
  <c r="S29" i="9" s="1"/>
  <c r="S6" i="17" s="1"/>
  <c r="P7" i="17"/>
  <c r="P8" i="17"/>
  <c r="Q21" i="9"/>
  <c r="R12" i="17"/>
  <c r="R26" i="8"/>
  <c r="R20" i="9" s="1"/>
  <c r="S7" i="11" l="1"/>
  <c r="S9" i="11" s="1"/>
  <c r="R13" i="7"/>
  <c r="R12" i="9" s="1"/>
  <c r="S22" i="8"/>
  <c r="S24" i="8"/>
  <c r="S25" i="8" s="1"/>
  <c r="S15" i="17"/>
  <c r="S11" i="16"/>
  <c r="S12" i="16" s="1"/>
  <c r="S14" i="16" s="1"/>
  <c r="T7" i="7"/>
  <c r="T10" i="7"/>
  <c r="S12" i="17"/>
  <c r="R21" i="9"/>
  <c r="Q20" i="17"/>
  <c r="Q14" i="17"/>
  <c r="Q19" i="17"/>
  <c r="Q11" i="17"/>
  <c r="Q13" i="17" s="1"/>
  <c r="Q30" i="9"/>
  <c r="R27" i="8"/>
  <c r="R5" i="10"/>
  <c r="R7" i="10" s="1"/>
  <c r="S29" i="12"/>
  <c r="R5" i="18"/>
  <c r="R10" i="18" s="1"/>
  <c r="R16" i="18" s="1"/>
  <c r="Q13" i="9"/>
  <c r="Q14" i="9" s="1"/>
  <c r="R21" i="10"/>
  <c r="R17" i="10" l="1"/>
  <c r="R18" i="10" s="1"/>
  <c r="R20" i="10" s="1"/>
  <c r="R22" i="10" s="1"/>
  <c r="S5" i="11"/>
  <c r="S6" i="11" s="1"/>
  <c r="S8" i="11" s="1"/>
  <c r="S16" i="17" s="1"/>
  <c r="S15" i="16"/>
  <c r="S16" i="16" s="1"/>
  <c r="S20" i="16" s="1"/>
  <c r="T9" i="7"/>
  <c r="T21" i="8"/>
  <c r="T24" i="9"/>
  <c r="U6" i="7"/>
  <c r="R14" i="17"/>
  <c r="R20" i="17"/>
  <c r="R19" i="17"/>
  <c r="R11" i="17"/>
  <c r="R13" i="17" s="1"/>
  <c r="R30" i="9"/>
  <c r="Q17" i="18"/>
  <c r="Q5" i="17"/>
  <c r="Q15" i="9"/>
  <c r="Q31" i="9" s="1"/>
  <c r="S26" i="8"/>
  <c r="T7" i="11" l="1"/>
  <c r="T9" i="11" s="1"/>
  <c r="S13" i="7"/>
  <c r="S12" i="9" s="1"/>
  <c r="T22" i="8"/>
  <c r="T24" i="8"/>
  <c r="T25" i="8" s="1"/>
  <c r="T15" i="17"/>
  <c r="T11" i="16"/>
  <c r="T12" i="16" s="1"/>
  <c r="T14" i="16" s="1"/>
  <c r="U7" i="7"/>
  <c r="U10" i="7"/>
  <c r="Q7" i="17"/>
  <c r="Q8" i="17"/>
  <c r="S27" i="8"/>
  <c r="S5" i="10"/>
  <c r="S7" i="10" s="1"/>
  <c r="T29" i="12"/>
  <c r="S5" i="18"/>
  <c r="S10" i="18" s="1"/>
  <c r="S16" i="18" s="1"/>
  <c r="S20" i="9"/>
  <c r="R13" i="9"/>
  <c r="R14" i="9" s="1"/>
  <c r="S21" i="10"/>
  <c r="T25" i="9"/>
  <c r="T28" i="9"/>
  <c r="T29" i="9" s="1"/>
  <c r="T6" i="17" s="1"/>
  <c r="S17" i="10" l="1"/>
  <c r="S18" i="10" s="1"/>
  <c r="S20" i="10" s="1"/>
  <c r="S22" i="10" s="1"/>
  <c r="T15" i="16"/>
  <c r="T16" i="16" s="1"/>
  <c r="T20" i="16" s="1"/>
  <c r="T5" i="11"/>
  <c r="T6" i="11" s="1"/>
  <c r="T8" i="11" s="1"/>
  <c r="T16" i="17" s="1"/>
  <c r="U9" i="7"/>
  <c r="U21" i="8"/>
  <c r="U24" i="9"/>
  <c r="U25" i="9" s="1"/>
  <c r="U28" i="9"/>
  <c r="U29" i="9" s="1"/>
  <c r="U6" i="17" s="1"/>
  <c r="V6" i="7"/>
  <c r="S21" i="9"/>
  <c r="R17" i="18"/>
  <c r="R5" i="17"/>
  <c r="R15" i="9"/>
  <c r="R31" i="9" s="1"/>
  <c r="T12" i="17"/>
  <c r="T26" i="8"/>
  <c r="T20" i="9" s="1"/>
  <c r="U7" i="11" l="1"/>
  <c r="U9" i="11" s="1"/>
  <c r="T13" i="7"/>
  <c r="T12" i="9" s="1"/>
  <c r="U22" i="8"/>
  <c r="U24" i="8"/>
  <c r="U25" i="8" s="1"/>
  <c r="U15" i="17"/>
  <c r="U11" i="16"/>
  <c r="U12" i="16" s="1"/>
  <c r="U14" i="16" s="1"/>
  <c r="U12" i="17"/>
  <c r="V7" i="7"/>
  <c r="V10" i="7"/>
  <c r="T21" i="9"/>
  <c r="S20" i="17"/>
  <c r="S14" i="17"/>
  <c r="S19" i="17"/>
  <c r="S11" i="17"/>
  <c r="S13" i="17" s="1"/>
  <c r="S30" i="9"/>
  <c r="R7" i="17"/>
  <c r="R8" i="17"/>
  <c r="T27" i="8"/>
  <c r="T5" i="10"/>
  <c r="T7" i="10" s="1"/>
  <c r="U29" i="12"/>
  <c r="T5" i="18"/>
  <c r="T10" i="18" s="1"/>
  <c r="T16" i="18" s="1"/>
  <c r="T21" i="10"/>
  <c r="S13" i="9"/>
  <c r="S14" i="9" s="1"/>
  <c r="T17" i="10" l="1"/>
  <c r="T18" i="10" s="1"/>
  <c r="T20" i="10" s="1"/>
  <c r="T22" i="10" s="1"/>
  <c r="U5" i="11"/>
  <c r="U6" i="11" s="1"/>
  <c r="U8" i="11" s="1"/>
  <c r="U16" i="17" s="1"/>
  <c r="U15" i="16"/>
  <c r="U16" i="16" s="1"/>
  <c r="U20" i="16" s="1"/>
  <c r="V9" i="7"/>
  <c r="V21" i="8"/>
  <c r="V24" i="9"/>
  <c r="V25" i="9" s="1"/>
  <c r="V28" i="9"/>
  <c r="V29" i="9" s="1"/>
  <c r="V6" i="17" s="1"/>
  <c r="T14" i="17"/>
  <c r="T20" i="17"/>
  <c r="T19" i="17"/>
  <c r="T11" i="17"/>
  <c r="T13" i="17" s="1"/>
  <c r="T30" i="9"/>
  <c r="S17" i="18"/>
  <c r="S5" i="17"/>
  <c r="S15" i="9"/>
  <c r="S31" i="9" s="1"/>
  <c r="U26" i="8"/>
  <c r="V7" i="11" l="1"/>
  <c r="U13" i="7"/>
  <c r="U12" i="9" s="1"/>
  <c r="V22" i="8"/>
  <c r="V26" i="8" s="1"/>
  <c r="V24" i="8"/>
  <c r="V25" i="8" s="1"/>
  <c r="V15" i="17"/>
  <c r="V11" i="16"/>
  <c r="V12" i="16" s="1"/>
  <c r="V14" i="16" s="1"/>
  <c r="V12" i="17"/>
  <c r="S7" i="17"/>
  <c r="S8" i="17"/>
  <c r="U27" i="8"/>
  <c r="U5" i="10"/>
  <c r="U7" i="10" s="1"/>
  <c r="V29" i="12"/>
  <c r="U5" i="18"/>
  <c r="U10" i="18" s="1"/>
  <c r="U16" i="18" s="1"/>
  <c r="U20" i="9"/>
  <c r="T13" i="9"/>
  <c r="T14" i="9" s="1"/>
  <c r="U21" i="10"/>
  <c r="B13" i="11" l="1"/>
  <c r="B18" i="14" s="1"/>
  <c r="V9" i="11"/>
  <c r="V17" i="10"/>
  <c r="V18" i="10" s="1"/>
  <c r="U17" i="10"/>
  <c r="U18" i="10" s="1"/>
  <c r="U20" i="10" s="1"/>
  <c r="U22" i="10" s="1"/>
  <c r="V5" i="18"/>
  <c r="V10" i="18" s="1"/>
  <c r="V16" i="18" s="1"/>
  <c r="W29" i="12"/>
  <c r="V5" i="10"/>
  <c r="V7" i="10" s="1"/>
  <c r="V27" i="8"/>
  <c r="V20" i="17"/>
  <c r="V15" i="16"/>
  <c r="V16" i="16" s="1"/>
  <c r="V20" i="16" s="1"/>
  <c r="V5" i="11"/>
  <c r="V6" i="11" s="1"/>
  <c r="V8" i="11" s="1"/>
  <c r="V20" i="9"/>
  <c r="V21" i="9" s="1"/>
  <c r="U21" i="9"/>
  <c r="T17" i="18"/>
  <c r="T5" i="17"/>
  <c r="T15" i="9"/>
  <c r="T31" i="9" s="1"/>
  <c r="B23" i="12" l="1"/>
  <c r="B24" i="14" s="1"/>
  <c r="B24" i="12"/>
  <c r="B25" i="14" s="1"/>
  <c r="B12" i="11"/>
  <c r="V16" i="17"/>
  <c r="V14" i="17"/>
  <c r="V19" i="17"/>
  <c r="V11" i="17"/>
  <c r="V13" i="17" s="1"/>
  <c r="V30" i="9"/>
  <c r="U20" i="17"/>
  <c r="U14" i="17"/>
  <c r="U19" i="17"/>
  <c r="U11" i="17"/>
  <c r="U13" i="17" s="1"/>
  <c r="U30" i="9"/>
  <c r="T7" i="17"/>
  <c r="T8" i="17"/>
  <c r="V20" i="10"/>
  <c r="U13" i="9"/>
  <c r="U14" i="9" s="1"/>
  <c r="V21" i="10"/>
  <c r="V22" i="10" s="1"/>
  <c r="V13" i="9" s="1"/>
  <c r="V14" i="9" s="1"/>
  <c r="A29" i="14" l="1"/>
  <c r="B17" i="14"/>
  <c r="C17" i="14" s="1"/>
  <c r="U17" i="18"/>
  <c r="U5" i="17"/>
  <c r="U15" i="9"/>
  <c r="U31" i="9" s="1"/>
  <c r="V5" i="17"/>
  <c r="V17" i="18"/>
  <c r="V15" i="9"/>
  <c r="V31" i="9" s="1"/>
  <c r="U7" i="17" l="1"/>
  <c r="U8" i="17"/>
  <c r="V7" i="17"/>
  <c r="V8" i="17"/>
</calcChain>
</file>

<file path=xl/sharedStrings.xml><?xml version="1.0" encoding="utf-8"?>
<sst xmlns="http://schemas.openxmlformats.org/spreadsheetml/2006/main" count="808" uniqueCount="523">
  <si>
    <t>⚡  camsroy.com</t>
  </si>
  <si>
    <t>Bankable Financial Models  |  Renewable Energy Project Finance</t>
  </si>
  <si>
    <t>Standalone BESS — Bankable Financial Model</t>
  </si>
  <si>
    <t>Project Finance Model for Lender Submission  |  IREDA / PFC / REC / Commercial Bank Format</t>
  </si>
  <si>
    <t>Project Name</t>
  </si>
  <si>
    <t>[Enter Project SPV Name]</t>
  </si>
  <si>
    <t>Capacity</t>
  </si>
  <si>
    <t>250 MW / 500 MWh (2-hr duration)</t>
  </si>
  <si>
    <t>Technology</t>
  </si>
  <si>
    <t>Lithium-ion (LFP)</t>
  </si>
  <si>
    <t>Location</t>
  </si>
  <si>
    <t>[State / Site]</t>
  </si>
  <si>
    <t>Off-taker</t>
  </si>
  <si>
    <t>[SECI / State DISCOM / Utility]</t>
  </si>
  <si>
    <t>Analysis Period</t>
  </si>
  <si>
    <t>20 Years (12-yr PPA + 8-yr merchant)</t>
  </si>
  <si>
    <t>Total Project Cost</t>
  </si>
  <si>
    <t>₹793 Cr (indicative)</t>
  </si>
  <si>
    <t>Debt : Equity</t>
  </si>
  <si>
    <t>70 : 30</t>
  </si>
  <si>
    <t>Prepared By</t>
  </si>
  <si>
    <t>[Your Name / Firm]</t>
  </si>
  <si>
    <t>Date</t>
  </si>
  <si>
    <t>[Submission Date]</t>
  </si>
  <si>
    <t>📋  WORKBOOK NAVIGATION</t>
  </si>
  <si>
    <t>📋</t>
  </si>
  <si>
    <t xml:space="preserve">  ASSUMPTIONS  —  Technical, commercial, capex, financing, tax inputs</t>
  </si>
  <si>
    <t>💰</t>
  </si>
  <si>
    <t xml:space="preserve">  CAPEX &amp; MOF  —  Capital cost build-up + Sources &amp; Uses</t>
  </si>
  <si>
    <t>📊</t>
  </si>
  <si>
    <t xml:space="preserve">  REVENUE MODEL  —  20-yr capacity + energy revenue projection</t>
  </si>
  <si>
    <t>💸</t>
  </si>
  <si>
    <t xml:space="preserve">  OPEX SCHEDULE  —  O&amp;M, insurance, land lease — 20-yr</t>
  </si>
  <si>
    <t>📉</t>
  </si>
  <si>
    <t xml:space="preserve">  DEPRECIATION  —  Books (SLM) &amp; Tax (WDV) schedules</t>
  </si>
  <si>
    <t>🏦</t>
  </si>
  <si>
    <t xml:space="preserve">  DEBT SCHEDULE  —  Drawdown, IDC, repayment, DSRA — 20-yr</t>
  </si>
  <si>
    <t>📈</t>
  </si>
  <si>
    <t xml:space="preserve">  P&amp;L  —  20-yr Profit &amp; Loss Statement</t>
  </si>
  <si>
    <t>🏛</t>
  </si>
  <si>
    <t xml:space="preserve">  BALANCE SHEET  —  20-yr Balance Sheet</t>
  </si>
  <si>
    <t>💵</t>
  </si>
  <si>
    <t xml:space="preserve">  CASH FLOW  —  20-yr Cash Flow Statement</t>
  </si>
  <si>
    <t>🎯</t>
  </si>
  <si>
    <t xml:space="preserve">  DSCR &amp; DEBT SERVICE  —  CFADS, Min/Avg DSCR, LLCR</t>
  </si>
  <si>
    <t>📐</t>
  </si>
  <si>
    <t xml:space="preserve">  RETURNS &amp; WACC  —  IRR, NPV, Payback, WACC, Cost of Capital</t>
  </si>
  <si>
    <t>🔬</t>
  </si>
  <si>
    <t xml:space="preserve">  SENSITIVITY  —  6-scenario stress testing</t>
  </si>
  <si>
    <t>🎖</t>
  </si>
  <si>
    <t xml:space="preserve">  LENDER DASHBOARD  —  One-page bankability summary</t>
  </si>
  <si>
    <t>📖</t>
  </si>
  <si>
    <t xml:space="preserve">  HOW TO USE  —  Assumptions basis, sources, methodology notes</t>
  </si>
  <si>
    <t>🎨  COLOUR LEGEND (Financial Modelling Convention)</t>
  </si>
  <si>
    <t>■ Sample</t>
  </si>
  <si>
    <t>Blue text = Hardcoded input / assumption — edit these</t>
  </si>
  <si>
    <t>Green text = Formula linked from another sheet</t>
  </si>
  <si>
    <t>Black text = Formula (same sheet)</t>
  </si>
  <si>
    <t>⚠  All figures are illustrative base-case assumptions grounded in current (2025-26) Indian BESS market data. Verify against your specific EPC quote, PPA/PSA terms, and lender term sheet before submission.</t>
  </si>
  <si>
    <t>© camsroy.com  |  Free for personal &amp; commercial use  |  www.camsroy.com</t>
  </si>
  <si>
    <t>⚡  BESS FINANCIAL MODEL  —  ASSUMPTIONS (Single Source of Truth)</t>
  </si>
  <si>
    <t>Blue cells = editable inputs. All schedules reference this sheet — change once, everything updates.</t>
  </si>
  <si>
    <t>🔋  A. TECHNICAL ASSUMPTIONS</t>
  </si>
  <si>
    <t>Parameter</t>
  </si>
  <si>
    <t>Value</t>
  </si>
  <si>
    <t>Notes / Source</t>
  </si>
  <si>
    <t>Rated Power Capacity (MW)</t>
  </si>
  <si>
    <t>Project design capacity</t>
  </si>
  <si>
    <t>Rated Energy Capacity (MWh)</t>
  </si>
  <si>
    <t>2-hour duration system</t>
  </si>
  <si>
    <t>Duration (hrs)</t>
  </si>
  <si>
    <t>Energy ÷ Power</t>
  </si>
  <si>
    <t>Round-Trip Efficiency (RTE)</t>
  </si>
  <si>
    <t>Typical grid-scale Li-ion LFP BESS</t>
  </si>
  <si>
    <t>Annual Degradation Rate</t>
  </si>
  <si>
    <t>Typical Li-ion capacity fade, 2%/yr</t>
  </si>
  <si>
    <t>Availability Factor (Contractual)</t>
  </si>
  <si>
    <t>Standard availability guarantee in BESS PPAs</t>
  </si>
  <si>
    <t>Cycles per Day (Base Case)</t>
  </si>
  <si>
    <t>1 full cycle/day for capacity-contract BESS</t>
  </si>
  <si>
    <t>Augmentation Year</t>
  </si>
  <si>
    <t>Mid-life capacity restoration</t>
  </si>
  <si>
    <t>Augmentation Cost (% of Battery Capex)</t>
  </si>
  <si>
    <t>Restores degraded capacity to ~95%</t>
  </si>
  <si>
    <t>Construction Period (Months)</t>
  </si>
  <si>
    <t>COD at start of Year 1</t>
  </si>
  <si>
    <t>Analysis Period (Years)</t>
  </si>
  <si>
    <t>Project economic life</t>
  </si>
  <si>
    <t>💰  B. CAPEX ASSUMPTIONS (₹ Crore)</t>
  </si>
  <si>
    <t>Cost Head</t>
  </si>
  <si>
    <t>₹ Crore</t>
  </si>
  <si>
    <t>Basis</t>
  </si>
  <si>
    <t>Battery Cells + Modules + Racks</t>
  </si>
  <si>
    <t>₹0.90 Cr/MWh — LFP cell benchmark 2026</t>
  </si>
  <si>
    <t>PCS (Power Conversion System)</t>
  </si>
  <si>
    <t>₹0.16 Cr/MW</t>
  </si>
  <si>
    <t>BOP (Containers/HVAC/Cabling)</t>
  </si>
  <si>
    <t>₹0.28 Cr/MWh</t>
  </si>
  <si>
    <t>EPC / Civil Works</t>
  </si>
  <si>
    <t>Site prep, foundation, structural</t>
  </si>
  <si>
    <t>Grid Evacuation / Substation</t>
  </si>
  <si>
    <t>Site-specific — verify with transmission utility</t>
  </si>
  <si>
    <t>Land (Purchase/Lease Premium)</t>
  </si>
  <si>
    <t>Small footprint vs solar/wind</t>
  </si>
  <si>
    <t>Fire Safety / EMS / BMS / SCADA</t>
  </si>
  <si>
    <t>Mandatory per India BESS fire safety norms</t>
  </si>
  <si>
    <t>Subtotal Hard Cost</t>
  </si>
  <si>
    <t>Contingency %</t>
  </si>
  <si>
    <t>Contingency (₹ Cr)</t>
  </si>
  <si>
    <t>Pre-IDC Project Cost (₹ Cr)</t>
  </si>
  <si>
    <t>🏦  C. MEANS OF FINANCE &amp; DEBT TERMS</t>
  </si>
  <si>
    <t>Debt : Equity Ratio (Debt %)</t>
  </si>
  <si>
    <t>Standard RE project finance gearing</t>
  </si>
  <si>
    <t>Interest Rate on Term Loan (p.a.)</t>
  </si>
  <si>
    <t>IREDA/PFC BESS lending range 9.5-11%</t>
  </si>
  <si>
    <t>Moratorium Period (Years)</t>
  </si>
  <si>
    <t>Equal to construction period</t>
  </si>
  <si>
    <t>Repayment Tenor Post-Moratorium</t>
  </si>
  <si>
    <t>12-yr door-to-door, matched to PPA tenor</t>
  </si>
  <si>
    <t>DSRA (Quarters of Debt Service)</t>
  </si>
  <si>
    <t>Standard lender requirement</t>
  </si>
  <si>
    <t>Processing Fee (% of Debt)</t>
  </si>
  <si>
    <t>One-time, capitalized to project cost</t>
  </si>
  <si>
    <t>Viability Gap Funding (VGF) — % of Capex</t>
  </si>
  <si>
    <t>Standard for competitive standalone BESS tenders (SECI/state, 30-40% range, 2025-26)</t>
  </si>
  <si>
    <t>📊  D. REVENUE ASSUMPTIONS</t>
  </si>
  <si>
    <t>Capacity Charge (₹ Lakh/MW/year)</t>
  </si>
  <si>
    <t>RVUNL 2025 auction: ₹1,77,500/MW/month</t>
  </si>
  <si>
    <t>Capacity Charge Escalation (p.a.)</t>
  </si>
  <si>
    <t>Base case: fixed capacity charge</t>
  </si>
  <si>
    <t>Energy/Variable Charge (₹/kWh)</t>
  </si>
  <si>
    <t>Base case: pure capacity contract; edit if PPA has variable component</t>
  </si>
  <si>
    <t>PPA / Capacity Contract Tenor (Yrs)</t>
  </si>
  <si>
    <t>Typical Indian standalone BESS PSA tenor</t>
  </si>
  <si>
    <t>Post-Contract Merchant Rate (% of PPA)</t>
  </si>
  <si>
    <t>Conservative re-contracting/merchant assumption</t>
  </si>
  <si>
    <t>💸  E. OPEX ASSUMPTIONS</t>
  </si>
  <si>
    <t>Fixed O&amp;M (₹ Lakh/MW/year)</t>
  </si>
  <si>
    <t>~1.5-2% of capex/year, typical BESS O&amp;M</t>
  </si>
  <si>
    <t>O&amp;M Escalation (p.a.)</t>
  </si>
  <si>
    <t>Standard escalation assumption</t>
  </si>
  <si>
    <t>Insurance (% of Gross Block/yr)</t>
  </si>
  <si>
    <t>Typical infra asset insurance rate</t>
  </si>
  <si>
    <t>Land Lease (₹ Cr/year)</t>
  </si>
  <si>
    <t>If leased; escalating</t>
  </si>
  <si>
    <t>Land Lease Escalation (p.a.)</t>
  </si>
  <si>
    <t>🧾  F. TAX &amp; DEPRECIATION ASSUMPTIONS</t>
  </si>
  <si>
    <t>Corporate Tax Rate (Sec 115BAA)</t>
  </si>
  <si>
    <t>25.17% incl. surcharge + cess</t>
  </si>
  <si>
    <t>Tax Depreciation Rate (WDV)</t>
  </si>
  <si>
    <t>CONSERVATIVE base case — see note below</t>
  </si>
  <si>
    <t>Book Depreciation — Useful Life</t>
  </si>
  <si>
    <t>SLM, Schedule II general plant &amp; machinery basis</t>
  </si>
  <si>
    <t>Book Depreciation — Residual Value</t>
  </si>
  <si>
    <t>5% of gross block</t>
  </si>
  <si>
    <t>⚠ TAX NOTE: Standalone BESS (not co-located with solar/wind generation) is NOT clearly covered under the 40% WDV "renewable energy device" block (Appendix I, Part A, 8(ix)) that applies to solar/wind. This model conservatively uses 15% WDV (general plant &amp; machinery). If co-located or if your tax advisor confirms eligibility for the accelerated 40% rate, change cell B59 accordingly — CONFIRM WITH YOUR CA BEFORE FILING.</t>
  </si>
  <si>
    <t>📐  G. DISCOUNT RATES / WACC INPUTS</t>
  </si>
  <si>
    <t>Risk-Free Rate (10-yr G-Sec)</t>
  </si>
  <si>
    <t>Verify against current G-Sec yield at submission date</t>
  </si>
  <si>
    <t>Equity Risk Premium (India)</t>
  </si>
  <si>
    <t>India infra/power sector benchmark</t>
  </si>
  <si>
    <t>Beta (Relevered, Power/Infra)</t>
  </si>
  <si>
    <t>Typical infra/regulated-return asset beta</t>
  </si>
  <si>
    <t>© camsroy.com  |  All figures editable — grounded in 2025-26 Indian BESS market data. Verify against your specific project terms before lender submission.</t>
  </si>
  <si>
    <t>⚡  CAPEX BUILD-UP &amp; MEANS OF FINANCE</t>
  </si>
  <si>
    <t>💰  CAPITAL COST BUILD-UP (₹ Crore)</t>
  </si>
  <si>
    <t>% of Total</t>
  </si>
  <si>
    <t>Reference</t>
  </si>
  <si>
    <t>Contingency</t>
  </si>
  <si>
    <t>Pre-IDC Project Cost</t>
  </si>
  <si>
    <t>Interest During Construction (IDC)</t>
  </si>
  <si>
    <t>Debt% × Pre-IDC × Rate × (Months/12) × 0.5 avg drawdown</t>
  </si>
  <si>
    <t>Loan Processing Fee</t>
  </si>
  <si>
    <t>TOTAL GROSS PROJECT COST</t>
  </si>
  <si>
    <t>100.0%</t>
  </si>
  <si>
    <t>Cost per MWh (₹ Cr/MWh)</t>
  </si>
  <si>
    <t>🏦  MEANS OF FINANCE  —  SOURCES &amp; USES</t>
  </si>
  <si>
    <t>Source</t>
  </si>
  <si>
    <t>%</t>
  </si>
  <si>
    <t>Term Loan (Debt)</t>
  </si>
  <si>
    <t>Promoter Equity</t>
  </si>
  <si>
    <t>TOTAL SOURCES</t>
  </si>
  <si>
    <t>100%</t>
  </si>
  <si>
    <t>Check: Sources = Uses (Total Project Cost)</t>
  </si>
  <si>
    <t>🏛  VIABILITY GAP FUNDING (VGF) — Received Post-COD, Swept to Prepay Debt</t>
  </si>
  <si>
    <t>VGF Grant Amount (₹ Cr) — % of Hard Cost</t>
  </si>
  <si>
    <t>VGF Disbursement Year (Yr 1 = immediately post-COD)</t>
  </si>
  <si>
    <t>Mechanism: Entire VGF swept as one-time debt prepayment at year-end of disbursement year (Debt Schedule sheet)</t>
  </si>
  <si>
    <t>ℹ  Debt and Equity are sized on the GROSS project cost (VGF not netted upfront). VGF is received post-COD and its ENTIRE amount is swept to prepay the term loan (see Debt Schedule). This prepayment is excluded from Debt Service for DSCR purposes since it is externally funded, not from operating cash flow. VGF also reduces the depreciable cost base (Books + Tax) in the disbursement year, per Explanation 10 to Sec 43(1). © camsroy.com</t>
  </si>
  <si>
    <t>⚡  REVENUE MODEL  —  20-Year Capacity &amp; Energy Revenue Projection</t>
  </si>
  <si>
    <t>Capacity charge escalates per Assumptions. Degradation reduces effective capacity; augmentation at Year 10 restores it. Post-PPA (Yr 13+), merchant rate applies.</t>
  </si>
  <si>
    <t>Line Item</t>
  </si>
  <si>
    <t>Constr.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</si>
  <si>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</si>
  <si>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</si>
  <si>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</si>
  <si>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</si>
  <si>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</si>
  <si>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</si>
  <si>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</si>
  <si>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</si>
  <si>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</si>
  <si>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</si>
  <si>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</si>
  <si>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</si>
  <si>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</si>
  <si>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</si>
  <si>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</si>
  <si>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</si>
  <si>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</si>
  <si>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</si>
  <si>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</si>
  <si>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</si>
  <si>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Year Number</t>
  </si>
  <si>
    <t>Capacity Factor (after degradation)</t>
  </si>
  <si>
    <t>Effective Available Capacity (MW)</t>
  </si>
  <si>
    <t>Capacity Charge Rate (₹ Lakh/MW/yr)</t>
  </si>
  <si>
    <t>Capacity Revenue (₹ Cr)</t>
  </si>
  <si>
    <t>Energy Discharged (MWh/year)</t>
  </si>
  <si>
    <t>Energy / Variable Revenue (₹ Cr)</t>
  </si>
  <si>
    <t>TOTAL REVENUE (₹ Cr)</t>
  </si>
  <si>
    <t>ℹ  Post-PPA-tenor years use merchant rate (% of contracted capacity charge). Degradation resets at augmentation year per Assumptions.  |  © camsroy.com</t>
  </si>
  <si>
    <t>⚡  OPEX SCHEDULE  —  20-Year O&amp;M, Insurance &amp; Land Lease</t>
  </si>
  <si>
    <t>Fixed O&amp;M escalates annually. Insurance based on gross block. Land lease escalates independently.</t>
  </si>
  <si>
    <t>Fixed O&amp;M (₹ Cr)</t>
  </si>
  <si>
    <t>Insurance (₹ Cr)</t>
  </si>
  <si>
    <t>Land Lease (₹ Cr)</t>
  </si>
  <si>
    <t>TOTAL OPEX (₹ Cr)</t>
  </si>
  <si>
    <t>ℹ  Insurance based on Total Project Cost (gross block). O&amp;M and Land Lease escalate per Assumptions.  |  © camsroy.com</t>
  </si>
  <si>
    <t>⚡  DEPRECIATION SCHEDULE  —  Books (SLM) vs Tax (WDV)</t>
  </si>
  <si>
    <t>Books depreciation (SLM) feeds P&amp;L/Balance Sheet presentation. Tax depreciation (WDV) determines actual cash tax payable.</t>
  </si>
  <si>
    <t>📗  BOOKS DEPRECIATION (Straight Line Method — Companies Act)</t>
  </si>
  <si>
    <t>Opening Gross Block (₹ Cr)</t>
  </si>
  <si>
    <t>Books Depreciation — SLM (₹ Cr)</t>
  </si>
  <si>
    <t>Closing Net Block — Books (₹ Cr)</t>
  </si>
  <si>
    <t>📙  TAX DEPRECIATION (Written Down Value — Income Tax Act, Sec 32)</t>
  </si>
  <si>
    <t>Opening WDV — Tax (₹ Cr)</t>
  </si>
  <si>
    <t>Tax Depreciation — WDV (₹ Cr)</t>
  </si>
  <si>
    <t>Closing WDV — Tax (₹ Cr)</t>
  </si>
  <si>
    <t>⚠  Tax depreciation uses 15% WDV (conservative for standalone BESS) — see Assumptions sheet note. Augmentation capex (Yr 11) added to both schedules.  |  © camsroy.com</t>
  </si>
  <si>
    <t>📘  DEFERRED GOVERNMENT GRANT (VGF) — Ind AS 20 Deferred Income Method</t>
  </si>
  <si>
    <t>Opening Deferred Grant Liability (₹ Cr)</t>
  </si>
  <si>
    <t>Amortisation to Income (₹ Cr)</t>
  </si>
  <si>
    <t>Closing Deferred Grant Liability (₹ Cr)</t>
  </si>
  <si>
    <t>⚠  Ind AS 20: Deferred Income Method used for BOOKS — VGF released to P&amp;L as separate income over remaining useful life, while Book Depreciation runs on the FULL/unreduced gross block. Tax WDV depreciation (above) still reduces by VGF per Explanation 10 to Sec 43(1) — this is a legal requirement independent of book policy.  |  © camsroy.com</t>
  </si>
  <si>
    <t>⚡  DEBT SCHEDULE  —  Drawdown, Moratorium, Repayment, DSRA</t>
  </si>
  <si>
    <t>Construction-period drawdown in Col B. Moratorium = 1 year (Yr 1). Equal annual principal installments over repayment tenor.</t>
  </si>
  <si>
    <t>0</t>
  </si>
  <si>
    <t>Debt Drawdown (₹ Cr)</t>
  </si>
  <si>
    <t>Opening Debt Balance (₹ Cr)</t>
  </si>
  <si>
    <t>Interest Expense (₹ Cr)</t>
  </si>
  <si>
    <t>Principal Repayment (₹ Cr)</t>
  </si>
  <si>
    <t>Total Debt Service (₹ Cr)</t>
  </si>
  <si>
    <t>Closing Debt Balance (₹ Cr)</t>
  </si>
  <si>
    <t>VGF Prepayment (₹ Cr) — one-time, excl. from Debt Service</t>
  </si>
  <si>
    <t>💧  DEBT SERVICE RESERVE ACCOUNT (DSRA)</t>
  </si>
  <si>
    <t>DSRA Required (₹ Cr) = Qtrs/4 × Next Yr Debt Service</t>
  </si>
  <si>
    <t>ℹ  Equal Annual Principal Installments over Repayment Tenor (11 yrs), following 1-yr Moratorium. Interest on reducing balance.  |  © camsroy.com</t>
  </si>
  <si>
    <t>⚡  PROFIT &amp; LOSS STATEMENT  —  20-Year Projection</t>
  </si>
  <si>
    <t>Tax computed using Tax Depreciation (WDV). Book Depreciation (SLM) used for accounting presentation.</t>
  </si>
  <si>
    <t>📦  REVENUE</t>
  </si>
  <si>
    <t>💸  OPERATING EXPENSES</t>
  </si>
  <si>
    <t>TOTAL OPERATING EXPENSES (₹ Cr)</t>
  </si>
  <si>
    <t>EBITDA (₹ Cr)</t>
  </si>
  <si>
    <t>EBITDA Margin %</t>
  </si>
  <si>
    <t>Depreciation — Books (₹ Cr)</t>
  </si>
  <si>
    <t>EBIT (₹ Cr)</t>
  </si>
  <si>
    <t>Add: Amortisation of Deferred Govt. Grant (VGF) — Ind AS 20</t>
  </si>
  <si>
    <t>Profit Before Tax — PBT (₹ Cr)</t>
  </si>
  <si>
    <t>Less: Tax Depreciation — WDV (₹ Cr)</t>
  </si>
  <si>
    <t>Taxable Income (₹ Cr)</t>
  </si>
  <si>
    <t>Tax @ 25.17% (₹ Cr)</t>
  </si>
  <si>
    <t>Profit After Tax — PAT (₹ Cr)</t>
  </si>
  <si>
    <t>PAT Margin %</t>
  </si>
  <si>
    <t>ℹ  Tax computed on Taxable Income (using WDV tax depreciation), not on Book PBT — reflects actual cash tax liability.  |  © camsroy.com</t>
  </si>
  <si>
    <t>⚡  BALANCE SHEET  —  20-Year Projection</t>
  </si>
  <si>
    <t>Simplified project-company balance sheet. Cash is the balancing plug from the Cash Flow Statement.</t>
  </si>
  <si>
    <t>ASSETS</t>
  </si>
  <si>
    <t>Non-Current Assets</t>
  </si>
  <si>
    <t>Gross Block (₹ Cr)</t>
  </si>
  <si>
    <t>Less: Accumulated Depreciation (₹ Cr)</t>
  </si>
  <si>
    <t>Net Fixed Assets (₹ Cr)</t>
  </si>
  <si>
    <t>TOTAL NON-CURRENT ASSETS (₹ Cr)</t>
  </si>
  <si>
    <t>Current Assets</t>
  </si>
  <si>
    <t>DSRA Balance (₹ Cr)</t>
  </si>
  <si>
    <t>Cash &amp; Bank Balance (₹ Cr) — Plug</t>
  </si>
  <si>
    <t>TOTAL CURRENT ASSETS (₹ Cr)</t>
  </si>
  <si>
    <t>TOTAL ASSETS (₹ Cr)</t>
  </si>
  <si>
    <t>LIABILITIES &amp; EQUITY</t>
  </si>
  <si>
    <t>Shareholders' Funds</t>
  </si>
  <si>
    <t>Share Capital (₹ Cr)</t>
  </si>
  <si>
    <t>Reserves &amp; Surplus — Cumulative PAT (₹ Cr)</t>
  </si>
  <si>
    <t>TOTAL SHAREHOLDERS' FUNDS (₹ Cr)</t>
  </si>
  <si>
    <t>Non-Current Liabilities</t>
  </si>
  <si>
    <t>Term Loan — Long-Term Portion (₹ Cr)</t>
  </si>
  <si>
    <t>TOTAL NON-CURRENT LIABILITIES (₹ Cr)</t>
  </si>
  <si>
    <t>Deferred Government Grant (VGF) — Ind AS 20 (₹ Cr)</t>
  </si>
  <si>
    <t>Current Liabilities</t>
  </si>
  <si>
    <t>Current Maturities of Long-Term Debt (₹ Cr)</t>
  </si>
  <si>
    <t>TOTAL CURRENT LIABILITIES (₹ Cr)</t>
  </si>
  <si>
    <t>TOTAL LIABILITIES &amp; EQUITY (₹ Cr)</t>
  </si>
  <si>
    <t>Balance Check (Assets − Liab&amp;Eq, should be 0)</t>
  </si>
  <si>
    <t>⚡  CASH FLOW STATEMENT  —  20-Year Projection</t>
  </si>
  <si>
    <t>Operating + Investing + Financing = Net Cash Flow. Opening/Closing cash rolls forward year to year.</t>
  </si>
  <si>
    <t>CASH FLOW FROM OPERATING ACTIVITIES</t>
  </si>
  <si>
    <t>Profit After Tax (₹ Cr)</t>
  </si>
  <si>
    <t>Add: Depreciation, less Grant Income Amortisation (Net Non-Cash) (₹ Cr)</t>
  </si>
  <si>
    <t>Net Cash from Operations (CFO) (₹ Cr)</t>
  </si>
  <si>
    <t>CASH FLOW FROM INVESTING ACTIVITIES</t>
  </si>
  <si>
    <t>Capital Expenditure (₹ Cr)</t>
  </si>
  <si>
    <t>Net Cash from Investing (CFI) (₹ Cr)</t>
  </si>
  <si>
    <t>CASH FLOW FROM FINANCING ACTIVITIES</t>
  </si>
  <si>
    <t>Equity Infusion (₹ Cr)</t>
  </si>
  <si>
    <t>DSRA Funding / (Release) (₹ Cr)</t>
  </si>
  <si>
    <t>Net Cash from Financing (CFF) (₹ Cr)</t>
  </si>
  <si>
    <t>NET CASH FLOW (₹ Cr)</t>
  </si>
  <si>
    <t>Opening Cash Balance (₹ Cr)</t>
  </si>
  <si>
    <t>Closing Cash Balance (₹ Cr)</t>
  </si>
  <si>
    <t>ℹ  Closing Cash feeds the Balance Sheet cash plug. DSRA funding shown as a use of cash in the year it builds up.  |  © camsroy.com</t>
  </si>
  <si>
    <t>⚡  DSCR &amp; DEBT SERVICE  —  Lender's Key Bankability Metric</t>
  </si>
  <si>
    <t>CFADS = EBITDA − Cash Tax. DSCR = CFADS ÷ Total Debt Service (Interest + Principal). Min &amp; Avg DSCR are the primary lender covenant metrics.</t>
  </si>
  <si>
    <t>Less: Cash Tax (₹ Cr)</t>
  </si>
  <si>
    <t>CFADS (₹ Cr)</t>
  </si>
  <si>
    <t>DSCR (x)</t>
  </si>
  <si>
    <t>Status (vs 1.20x floor)</t>
  </si>
  <si>
    <t>🎯  DSCR SUMMARY METRICS</t>
  </si>
  <si>
    <t>Minimum DSCR (during debt tenor)</t>
  </si>
  <si>
    <t>Average DSCR (during debt tenor)</t>
  </si>
  <si>
    <t>⚡  RETURNS &amp; COST OF CAPITAL  —  WACC, IRR, NPV, Payback</t>
  </si>
  <si>
    <t>Project IRR/NPV uses Free Cash Flow to Firm (pre-financing). Equity IRR/NPV uses Free Cash Flow to Equity (post-financing).</t>
  </si>
  <si>
    <t>📐  A. COST OF CAPITAL (WACC)</t>
  </si>
  <si>
    <t>Risk-Free Rate (Rf)</t>
  </si>
  <si>
    <t>Equity Risk Premium (ERP)</t>
  </si>
  <si>
    <t>Beta (Relevered)</t>
  </si>
  <si>
    <t>Cost of Equity (CAPM) = Rf + β×ERP</t>
  </si>
  <si>
    <t>Cost of Debt (pre-tax)</t>
  </si>
  <si>
    <t>Cost of Debt (post-tax) = Kd×(1−Tax)</t>
  </si>
  <si>
    <t>Debt Weight (D/D+E)</t>
  </si>
  <si>
    <t>Equity Weight (E/D+E)</t>
  </si>
  <si>
    <t>WACC = E%×CoE + D%×CoD(post-tax)</t>
  </si>
  <si>
    <t>📈  B. PROJECT RETURNS (Pre-Financing, FCFF Basis)</t>
  </si>
  <si>
    <t>Methodology: FCFF = EBITDA − Unlevered Tax − Capex (Yr0 = −Total Project Cost)</t>
  </si>
  <si>
    <t>Project IRR (%)</t>
  </si>
  <si>
    <t>Project NPV @ WACC (₹ Cr)</t>
  </si>
  <si>
    <t>Simple Payback (Years)</t>
  </si>
  <si>
    <t>Years until cumulative FCFF turns positive</t>
  </si>
  <si>
    <t>Discounted Payback (Years)</t>
  </si>
  <si>
    <t>Years until cumulative discounted FCFF turns positive</t>
  </si>
  <si>
    <t>💰  C. EQUITY RETURNS (Post-Financing, FCFE Basis)</t>
  </si>
  <si>
    <t>Methodology: FCFE = Net Cash Flow to Equity = PAT + Dep − Principal Repayment (Yr0 = −Equity Invested)</t>
  </si>
  <si>
    <t>Equity IRR (%)</t>
  </si>
  <si>
    <t>Equity NPV @ Cost of Equity (₹ Cr)</t>
  </si>
  <si>
    <t>🔢  HELPER: FCFF / FCFE CASH FLOW SERIES (for IRR/NPV)</t>
  </si>
  <si>
    <t>Year</t>
  </si>
  <si>
    <t>Yr 0</t>
  </si>
  <si>
    <t>Yr1</t>
  </si>
  <si>
    <t>Yr2</t>
  </si>
  <si>
    <t>Yr3</t>
  </si>
  <si>
    <t>Yr4</t>
  </si>
  <si>
    <t>Yr5</t>
  </si>
  <si>
    <t>Yr6</t>
  </si>
  <si>
    <t>Yr7</t>
  </si>
  <si>
    <t>Yr8</t>
  </si>
  <si>
    <t>Yr9</t>
  </si>
  <si>
    <t>Yr10</t>
  </si>
  <si>
    <t>Yr11</t>
  </si>
  <si>
    <t>Yr12</t>
  </si>
  <si>
    <t>Yr13</t>
  </si>
  <si>
    <t>Yr14</t>
  </si>
  <si>
    <t>Yr15</t>
  </si>
  <si>
    <t>Yr16</t>
  </si>
  <si>
    <t>Yr17</t>
  </si>
  <si>
    <t>Yr18</t>
  </si>
  <si>
    <t>Yr19</t>
  </si>
  <si>
    <t>Yr20</t>
  </si>
  <si>
    <t>FCFF (₹ Cr)</t>
  </si>
  <si>
    <t>FCFE (₹ Cr)</t>
  </si>
  <si>
    <t>Cumulative FCFF (helper, ₹ Cr)</t>
  </si>
  <si>
    <t>Cumulative Discounted FCFF (helper, ₹ Cr)</t>
  </si>
  <si>
    <t>⚠  Project IRR uses simplified unlevered tax (EBIT×Tax approximation, ignoring working capital changes). Verify with detailed FCFF build for final submission.  |  © camsroy.com</t>
  </si>
  <si>
    <t>⚡  SENSITIVITY ANALYSIS  —  Stress Testing &amp; Bankability Threshold</t>
  </si>
  <si>
    <t>Uses Year 2 (D column) — the binding/minimum-DSCR year identified in the base case (post-VGF restructure) — as the representative test year for each scenario.</t>
  </si>
  <si>
    <t>🎯  A. BREAKEVEN CAPACITY CHARGE  —  What tariff achieves 1.20x Min DSCR?</t>
  </si>
  <si>
    <t>Current Capacity Charge (₹ Lakh/MW/yr)</t>
  </si>
  <si>
    <t>Year 2 Current EBITDA (₹ Cr) [=CFADS, Tax=0]</t>
  </si>
  <si>
    <t>Year 2 Current Revenue (₹ Cr)</t>
  </si>
  <si>
    <t>Year 2 Debt Service (₹ Cr)</t>
  </si>
  <si>
    <t>Target Min DSCR</t>
  </si>
  <si>
    <t>Required EBITDA (Yr2) for Target DSCR (₹ Cr)</t>
  </si>
  <si>
    <t>Required Revenue Increase (₹ Cr)</t>
  </si>
  <si>
    <t>Required Total Revenue (Yr2) (₹ Cr)</t>
  </si>
  <si>
    <t>Tariff Scaling Factor Required</t>
  </si>
  <si>
    <t>🎯  BREAKEVEN CAPACITY CHARGE (₹ Lakh/MW/yr)</t>
  </si>
  <si>
    <t>📊  B. SCENARIO STRESS TABLE (Year 2 Representative)</t>
  </si>
  <si>
    <t>Scenario</t>
  </si>
  <si>
    <t>Capex Δ</t>
  </si>
  <si>
    <t>Tariff Δ</t>
  </si>
  <si>
    <t>O&amp;M Δ</t>
  </si>
  <si>
    <t>Rate Δ</t>
  </si>
  <si>
    <t>Yr10 DSCR (Indicative)</t>
  </si>
  <si>
    <t>Verdict</t>
  </si>
  <si>
    <t>Base Case</t>
  </si>
  <si>
    <t>Capex +10%</t>
  </si>
  <si>
    <t>Tariff −10%</t>
  </si>
  <si>
    <t>O&amp;M +15%</t>
  </si>
  <si>
    <t>Interest Rate +100bps</t>
  </si>
  <si>
    <t>Combined Downside</t>
  </si>
  <si>
    <t>⚠  Scenario DSCR figures are simplified single-year (Yr10) indicative approximations — not a full 20-year re-run per scenario. Debt service scaling for Capex/Rate changes uses a proportional approximation. For final lender submission, re-run the full model with updated Assumptions sheet inputs for each scenario.  |  © camsroy.com</t>
  </si>
  <si>
    <t>🏗  PROJECT &amp; CAPITAL STRUCTURE</t>
  </si>
  <si>
    <t>Total Fundable Project Cost (₹ Cr)</t>
  </si>
  <si>
    <t>VGF Grant (₹ Cr)</t>
  </si>
  <si>
    <t>Term Loan / Debt (₹ Cr)</t>
  </si>
  <si>
    <t>Promoter Equity (₹ Cr)</t>
  </si>
  <si>
    <t>Debt : Equity Ratio</t>
  </si>
  <si>
    <t>Cost per MWh (₹ Cr/MWh, gross basis)</t>
  </si>
  <si>
    <t>📐  COST OF CAPITAL</t>
  </si>
  <si>
    <t>Cost of Equity</t>
  </si>
  <si>
    <t>Cost of Debt (post-tax)</t>
  </si>
  <si>
    <t>WACC</t>
  </si>
  <si>
    <t>🎯  DEBT SERVICE COVERAGE  —  KEY LENDER METRIC</t>
  </si>
  <si>
    <t>🎯 Breakeven Capacity Charge for 1.20x DSCR (₹ Lakh/MW/yr)</t>
  </si>
  <si>
    <t>📈  RETURNS SUMMARY</t>
  </si>
  <si>
    <t>Project IRR</t>
  </si>
  <si>
    <t>Equity IRR</t>
  </si>
  <si>
    <t>Simple Payback</t>
  </si>
  <si>
    <t>🚦  OVERALL BANKABILITY VERDICT</t>
  </si>
  <si>
    <t>© camsroy.com  |  Illustrative base-case model grounded in 2025-26 Indian standalone BESS market data — verify against your specific EPC quote, PSA, and lender term sheet.</t>
  </si>
  <si>
    <t>⚡  camsroy.com  |  HOW TO USE  —  250 MW/500 MWh BESS Bankable Financial Model</t>
  </si>
  <si>
    <t>⚠ CRITICAL FINDING — READ THIS FIRST</t>
  </si>
  <si>
    <t xml:space="preserve">    At the current base-case capacity charge (₹21.30 Lakh/MW/year, benchmarked to the RVUNL 2025 auction) and 35% VGF, this project's Minimum DSCR is 0.41x and Average DSCR is 0.50x — both well below the ~1.20x floor most lenders require. This is a genuine market finding, not a modeling error: some recent Indian standalone BESS tenders may be priced below sustainable project-finance economics. See the Sensitivity sheet — the breakeven capacity charge for 1.20x DSCR is ₹37.95 Lakh/MW/year, roughly 78% higher than the RVUNL benchmark used here.</t>
  </si>
  <si>
    <t>STEP-BY-STEP GUIDE</t>
  </si>
  <si>
    <t xml:space="preserve">  Step 1 — ASSUMPTIONS Sheet</t>
  </si>
  <si>
    <t xml:space="preserve">    Update every input for YOUR specific project: capacity, capex build-up, VGF%, capacity charge (use your actual PSA/tender rate, not the RVUNL benchmark, if different), interest rate, tax treatment. Every other sheet flows from here.</t>
  </si>
  <si>
    <t xml:space="preserve">  Step 2 — CAPEX &amp; MOF Sheet</t>
  </si>
  <si>
    <t xml:space="preserve">    Review the capital cost build-up and Sources &amp; Uses. VGF is applied to hard cost before Debt/Equity sizing, consistent with capital-subsidy tax treatment (Explanation 10, Sec 43(1)).</t>
  </si>
  <si>
    <t xml:space="preserve">  Step 3 — Revenue, Opex, Depreciation, Debt Schedule</t>
  </si>
  <si>
    <t xml:space="preserve">    These auto-populate from Assumptions. Revenue includes degradation, augmentation (Yr 11 capacity restoration), and post-PPA merchant tariff. Debt uses equal annual principal installments over an 11-year repayment tenor following 1-year moratorium.</t>
  </si>
  <si>
    <t xml:space="preserve">  Step 4 — P&amp;L / Balance Sheet / Cash Flow</t>
  </si>
  <si>
    <t xml:space="preserve">    Fully linked 3-statement model. Balance Sheet balances to zero in every year (verified). Tax is computed on WDV tax depreciation (cash-accurate), not book SLM depreciation.</t>
  </si>
  <si>
    <t xml:space="preserve">  Step 5 — DSCR &amp; Debt Service</t>
  </si>
  <si>
    <t xml:space="preserve">    The single most important sheet for lender submission. Min/Avg DSCR use MINIFS/AVERAGEIFS restricted to years with actual debt service (excludes post-repayment years).</t>
  </si>
  <si>
    <t xml:space="preserve">  Step 6 — Returns &amp; WACC</t>
  </si>
  <si>
    <t xml:space="preserve">    WACC via CAPM (Cost of Equity) + post-tax Cost of Debt, weighted by Debt:Equity. Project IRR uses unlevered FCFF; Equity IRR uses FCFE. If cash flows never turn net-positive, IRR will show 'N/A — cash flows do not converge' rather than an error — this itself is a bankability signal.</t>
  </si>
  <si>
    <t xml:space="preserve">  Step 7 — Sensitivity Analysis</t>
  </si>
  <si>
    <t xml:space="preserve">    Shows the Breakeven Capacity Charge (the tariff needed for 1.20x Min DSCR) plus a 6-scenario stress table using Year 10 (the identified worst-DSCR year) as a representative test case. These are indicative single-year approximations — re-run the full 20-year model with updated Assumptions for final scenario submission.</t>
  </si>
  <si>
    <t xml:space="preserve">  Step 8 — Lender Dashboard</t>
  </si>
  <si>
    <t xml:space="preserve">    One-page summary combining capital structure, cost of capital, DSCR, returns, and an overall bankability verdict — designed to be the first page a credit committee reviews.</t>
  </si>
  <si>
    <t>KEY ASSUMPTIONS &amp; SOURCES (2025-26 Indian BESS Market)</t>
  </si>
  <si>
    <t xml:space="preserve">    • Capex: ~₹1.57 Cr/MWh all-in, consistent with global $120-155/kWh utility-scale benchmark (Ember, 2026) plus India BOP/grid/land/fire-safety loading</t>
  </si>
  <si>
    <t xml:space="preserve">    • Capacity Charge: ₹21.30 Lakh/MW/month — RVUNL 2025 auction (1GW/2GWh), ₹1,77,500/MW/month clearing price</t>
  </si>
  <si>
    <t xml:space="preserve">    • VGF: 30-40% of capex is standard for competitive Indian standalone BESS tenders (Ember/GEAPP reporting); 35% used as base case</t>
  </si>
  <si>
    <t xml:space="preserve">    • Interest Rate: 9.5-11% typical IREDA/PFC range for BESS lending; 10.75% used as base case</t>
  </si>
  <si>
    <t xml:space="preserve">    • Tax Depreciation: 15% WDV (conservative) — standalone BESS is NOT clearly covered under the 40% 'renewable energy device' block (Sec 32, Appendix I, 8(ix)) that applies to solar/wind. CONFIRM WITH YOUR CA.</t>
  </si>
  <si>
    <t xml:space="preserve">    • WACC inputs: Rf 7.0% (10-yr G-Sec, verify current), ERP 6.5% (India infra benchmark), Beta 0.90 (typical regulated-return infra asset)</t>
  </si>
  <si>
    <t>CUSTOMISATION CHECKLIST BEFORE LENDER SUBMISSION</t>
  </si>
  <si>
    <t xml:space="preserve">    ☐ Replace capacity charge with your actual signed PSA/PPA rate (not the RVUNL benchmark)</t>
  </si>
  <si>
    <t xml:space="preserve">    ☐ Replace capex build-up with your actual EPC quote / BOQ</t>
  </si>
  <si>
    <t xml:space="preserve">    ☐ Confirm VGF eligibility and % with the relevant SECI/state scheme documentation</t>
  </si>
  <si>
    <t xml:space="preserve">    ☐ Get your CA/tax advisor to confirm the correct depreciation block for standalone BESS</t>
  </si>
  <si>
    <t xml:space="preserve">    ☐ Verify current 10-yr G-Sec yield for the risk-free rate input</t>
  </si>
  <si>
    <t xml:space="preserve">    ☐ Confirm your specific lender's DSCR covenant floor, DSRA requirement, and repayment structure (sculpted vs equal-installment)</t>
  </si>
  <si>
    <t xml:space="preserve">    ☐ Add working capital movements if material (this model assumes zero net working capital change)</t>
  </si>
  <si>
    <t>MORE FREE TEMPLATES — camsroy.com</t>
  </si>
  <si>
    <t xml:space="preserve">    Visit www.camsroy.com/resources/templates for Budget vs Actual, AR &amp; AP Tracker, Payroll &amp; Salary Register, SME Financial Dashboard and more.</t>
  </si>
  <si>
    <t>© 2025 camsroy.com  |  Free for personal and commercial use  |  Not a substitute for professional project finance advisory  |  www.camsroy.com</t>
  </si>
  <si>
    <t>⚡  CMA DATA — FORM I: OPERATING STATEMENT (for Bank Term Loan Appraisal)</t>
  </si>
  <si>
    <t>Standard CMA format — Gross Sales through Net Profit, with key operating ratios for lender assessment.</t>
  </si>
  <si>
    <t>Particulars</t>
  </si>
  <si>
    <t>1. Gross Sales / Revenue (₹ Cr)</t>
  </si>
  <si>
    <t>2. Less: Excise / Duty (if applicable)</t>
  </si>
  <si>
    <t>3. Net Sales (₹ Cr)</t>
  </si>
  <si>
    <t>4. Cost of Sales / Operating Expenses (₹ Cr)</t>
  </si>
  <si>
    <t>5. Gross Profit (₹ Cr)</t>
  </si>
  <si>
    <t>6. Depreciation (₹ Cr)</t>
  </si>
  <si>
    <t>7. Operating Profit before Interest (₹ Cr)</t>
  </si>
  <si>
    <t>8. Interest (₹ Cr)</t>
  </si>
  <si>
    <t>9. Operating Profit after Interest (₹ Cr)</t>
  </si>
  <si>
    <t>10. Other Income — Amortisation of Deferred Govt. Grant (VGF)</t>
  </si>
  <si>
    <t>11. Profit Before Tax — PBT (₹ Cr)</t>
  </si>
  <si>
    <t>12. Tax Provision (₹ Cr)</t>
  </si>
  <si>
    <t>13. Net Profit — PAT (₹ Cr)</t>
  </si>
  <si>
    <t>📊  KEY OPERATING RATIOS</t>
  </si>
  <si>
    <t>Gross Profit Margin %</t>
  </si>
  <si>
    <t>Net Profit Margin %</t>
  </si>
  <si>
    <t>ℹ  Standard CMA Form I format used by Indian nationalised/commercial banks for term loan appraisal.  |  © camsroy.com</t>
  </si>
  <si>
    <t>⚡  CMA DATA — FORM II: ANALYSIS OF BALANCE SHEET (Bank Term Loan Appraisal)</t>
  </si>
  <si>
    <t>Current Ratio, Net Working Capital, TOL/TNW and other lender-standard ratios computed from the Balance Sheet.</t>
  </si>
  <si>
    <t>A. CURRENT ASSETS &amp; CURRENT LIABILITIES</t>
  </si>
  <si>
    <t>Total Current Assets (₹ Cr)</t>
  </si>
  <si>
    <t>Total Current Liabilities (₹ Cr)</t>
  </si>
  <si>
    <t>Net Working Capital (₹ Cr)</t>
  </si>
  <si>
    <t>Current Ratio (x)</t>
  </si>
  <si>
    <t>B. LEVERAGE &amp; COVERAGE RATIOS</t>
  </si>
  <si>
    <t>Tangible Net Worth — TNW (₹ Cr)</t>
  </si>
  <si>
    <t>Total Outside Liabilities — TOL (₹ Cr)</t>
  </si>
  <si>
    <t>TOL / TNW Ratio (x)</t>
  </si>
  <si>
    <t>Debt : Equity Ratio (x)</t>
  </si>
  <si>
    <t>Interest Coverage Ratio — ICR (x)</t>
  </si>
  <si>
    <t>DSCR (x) — from DSCR Sheet</t>
  </si>
  <si>
    <t>C. RETURN RATIOS</t>
  </si>
  <si>
    <t>Return on Capital Employed — ROCE %</t>
  </si>
  <si>
    <t>Return on Net Worth — RONW %</t>
  </si>
  <si>
    <t>ℹ  Standard CMA Form II ratios: Current Ratio, TOL/TNW, Debt-Equity, ICR, DSCR — used by banks to assess creditworthiness for term loan sanction.  |  © camsroy.com</t>
  </si>
  <si>
    <t>⚡  CMA DATA — FORM V: FUND FLOW STATEMENT (Sources &amp; Application of Funds)</t>
  </si>
  <si>
    <t>Year-on-year movement in Balance Sheet items — standard CMA format showing Long-Term Sources vs Long-Term Uses.</t>
  </si>
  <si>
    <t>LONG-TERM SOURCES OF FUNDS</t>
  </si>
  <si>
    <t>Net Profit (₹ Cr)</t>
  </si>
  <si>
    <t>Add: Depreciation (₹ Cr)</t>
  </si>
  <si>
    <t>Fresh Long-Term Debt Raised (₹ Cr)</t>
  </si>
  <si>
    <t>Fresh Equity Infusion (₹ Cr)</t>
  </si>
  <si>
    <t>VGF Grant Received (₹ Cr)</t>
  </si>
  <si>
    <t>TOTAL LONG-TERM SOURCES (₹ Cr)</t>
  </si>
  <si>
    <t>LONG-TERM APPLICATION OF FUNDS</t>
  </si>
  <si>
    <t>Long-Term Debt Repayment incl. VGF Prepayment (₹ Cr)</t>
  </si>
  <si>
    <t>TOTAL LONG-TERM APPLICATION (₹ Cr)</t>
  </si>
  <si>
    <t>Net Long-Term Surplus / (Deficit) (₹ Cr)</t>
  </si>
  <si>
    <t>Increase / (Decrease) in Net Working Capital (₹ Cr)</t>
  </si>
  <si>
    <t>ℹ  Standard CMA Form V format — reconciles long-term sources against long-term application of funds, with net working capital movement shown separately. © camsroy.com</t>
  </si>
  <si>
    <t>V1.0</t>
  </si>
  <si>
    <t>Released :</t>
  </si>
  <si>
    <t xml:space="preserve">Version : 
</t>
  </si>
  <si>
    <t>Project Finance Excel Template</t>
  </si>
  <si>
    <t>⚡  LENDER DASHBOARD  —  Standalone BESS  —  One-Page Bankability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</si>
</sst>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0\x"/>
    <numFmt numFmtId="167" formatCode="0.0"/>
    <numFmt numFmtId="168" formatCode="\+0%;\-0%;0%"/>
    <numFmt numFmtId="169" formatCode="\+0.00%;\-0.00%;0%"/>
  </numFmts>
  <fonts count="35" x14ac:knownFonts="1">
    <font>
      <sz val="11"/>
      <color theme="1"/>
      <name val="Calibri"/>
      <family val="2"/>
      <charset val="1"/>
    </font>
    <font>
      <b/>
      <sz val="22"/>
      <color rgb="FFFFFFFF"/>
      <name val="Arial"/>
      <charset val="1"/>
    </font>
    <font>
      <i/>
      <sz val="9"/>
      <color rgb="FFF3E5F5"/>
      <name val="Arial"/>
      <charset val="1"/>
    </font>
    <font>
      <b/>
      <sz val="14"/>
      <color rgb="FFAED6F1"/>
      <name val="Arial"/>
      <charset val="1"/>
    </font>
    <font>
      <i/>
      <sz val="10"/>
      <color rgb="FFD7BDE2"/>
      <name val="Arial"/>
      <charset val="1"/>
    </font>
    <font>
      <sz val="10"/>
      <color rgb="FFAED6F1"/>
      <name val="Arial"/>
      <charset val="1"/>
    </font>
    <font>
      <b/>
      <sz val="10"/>
      <color rgb="FFFFFFFF"/>
      <name val="Arial"/>
      <charset val="1"/>
    </font>
    <font>
      <b/>
      <sz val="11"/>
      <color rgb="FFAED6F1"/>
      <name val="Arial"/>
      <charset val="1"/>
    </font>
    <font>
      <sz val="11"/>
      <color rgb="FFD4AC0D"/>
      <name val="Arial"/>
      <charset val="1"/>
    </font>
    <font>
      <sz val="9"/>
      <color rgb="FFBDC3C7"/>
      <name val="Arial"/>
      <charset val="1"/>
    </font>
    <font>
      <b/>
      <sz val="10"/>
      <color rgb="FFAED6F1"/>
      <name val="Arial"/>
      <charset val="1"/>
    </font>
    <font>
      <b/>
      <sz val="9"/>
      <color rgb="FF0000FF"/>
      <name val="Arial"/>
      <charset val="1"/>
    </font>
    <font>
      <b/>
      <sz val="9"/>
      <color rgb="FF008000"/>
      <name val="Arial"/>
      <charset val="1"/>
    </font>
    <font>
      <b/>
      <sz val="9"/>
      <color rgb="FF000000"/>
      <name val="Arial"/>
      <charset val="1"/>
    </font>
    <font>
      <i/>
      <sz val="8"/>
      <color rgb="FFF5B7B1"/>
      <name val="Arial"/>
      <charset val="1"/>
    </font>
    <font>
      <sz val="8"/>
      <color rgb="FF7F8C8D"/>
      <name val="Arial"/>
      <charset val="1"/>
    </font>
    <font>
      <b/>
      <sz val="12"/>
      <color rgb="FFFFFFFF"/>
      <name val="Arial"/>
      <charset val="1"/>
    </font>
    <font>
      <i/>
      <sz val="9"/>
      <color rgb="FF555555"/>
      <name val="Arial"/>
      <charset val="1"/>
    </font>
    <font>
      <b/>
      <sz val="9"/>
      <color rgb="FFFFFFFF"/>
      <name val="Arial"/>
      <charset val="1"/>
    </font>
    <font>
      <sz val="9"/>
      <color rgb="FF0D1B2A"/>
      <name val="Arial"/>
      <charset val="1"/>
    </font>
    <font>
      <i/>
      <sz val="8"/>
      <color rgb="FF555555"/>
      <name val="Arial"/>
      <charset val="1"/>
    </font>
    <font>
      <b/>
      <sz val="9"/>
      <color rgb="FF0D1B2A"/>
      <name val="Arial"/>
      <charset val="1"/>
    </font>
    <font>
      <i/>
      <sz val="8"/>
      <color rgb="FF922B21"/>
      <name val="Arial"/>
      <charset val="1"/>
    </font>
    <font>
      <sz val="9"/>
      <color rgb="FF008000"/>
      <name val="Arial"/>
      <charset val="1"/>
    </font>
    <font>
      <b/>
      <sz val="11"/>
      <color rgb="FFFFFFFF"/>
      <name val="Arial"/>
      <charset val="1"/>
    </font>
    <font>
      <b/>
      <sz val="9"/>
      <color rgb="FF117A65"/>
      <name val="Arial"/>
      <charset val="1"/>
    </font>
    <font>
      <b/>
      <sz val="11"/>
      <color rgb="FF0D1B2A"/>
      <name val="Arial"/>
      <charset val="1"/>
    </font>
    <font>
      <b/>
      <sz val="9"/>
      <color rgb="FFA04000"/>
      <name val="Arial"/>
      <charset val="1"/>
    </font>
    <font>
      <sz val="9"/>
      <color rgb="FF0000FF"/>
      <name val="Arial"/>
      <charset val="1"/>
    </font>
    <font>
      <b/>
      <sz val="10"/>
      <color rgb="FF922B21"/>
      <name val="Arial"/>
      <charset val="1"/>
    </font>
    <font>
      <b/>
      <sz val="11"/>
      <color rgb="FF922B21"/>
      <name val="Arial"/>
      <charset val="1"/>
    </font>
    <font>
      <b/>
      <sz val="10"/>
      <color rgb="FF0D1B2A"/>
      <name val="Arial"/>
      <charset val="1"/>
    </font>
    <font>
      <i/>
      <sz val="8"/>
      <color rgb="FF888888"/>
      <name val="Arial"/>
      <charset val="1"/>
    </font>
    <font>
      <b/>
      <sz val="22"/>
      <color rgb="FFFFFFFF"/>
      <name val="Arial"/>
      <family val="2"/>
    </font>
    <font>
      <b/>
      <sz val="12"/>
      <color rgb="FFFFFFFF"/>
      <name val="Arial"/>
      <family val="2"/>
    </font>
  </fonts>
  <fills count="14">
    <fill>
      <patternFill patternType="none"/>
    </fill>
    <fill>
      <patternFill patternType="gray125"/>
    </fill>
    <fill>
      <patternFill patternType="solid">
        <fgColor rgb="FF0D1B2A"/>
        <bgColor rgb="FF000000"/>
      </patternFill>
    </fill>
    <fill>
      <patternFill patternType="solid">
        <fgColor rgb="FF6C3483"/>
        <bgColor rgb="FF333399"/>
      </patternFill>
    </fill>
    <fill>
      <patternFill patternType="solid">
        <fgColor rgb="FFF2F3F4"/>
        <bgColor rgb="FFFDEDEC"/>
      </patternFill>
    </fill>
    <fill>
      <patternFill patternType="solid">
        <fgColor rgb="FF117A65"/>
        <bgColor rgb="FF008080"/>
      </patternFill>
    </fill>
    <fill>
      <patternFill patternType="solid">
        <fgColor rgb="FF1B4F72"/>
        <bgColor rgb="FF333399"/>
      </patternFill>
    </fill>
    <fill>
      <patternFill patternType="solid">
        <fgColor rgb="FFD6EAF8"/>
        <bgColor rgb="FFD5F5E3"/>
      </patternFill>
    </fill>
    <fill>
      <patternFill patternType="solid">
        <fgColor rgb="FFA04000"/>
        <bgColor rgb="FF922B21"/>
      </patternFill>
    </fill>
    <fill>
      <patternFill patternType="solid">
        <fgColor rgb="FFFAE5D3"/>
        <bgColor rgb="FFFDEDEC"/>
      </patternFill>
    </fill>
    <fill>
      <patternFill patternType="solid">
        <fgColor rgb="FFFDEDEC"/>
        <bgColor rgb="FFF2F3F4"/>
      </patternFill>
    </fill>
    <fill>
      <patternFill patternType="solid">
        <fgColor rgb="FFD5F5E3"/>
        <bgColor rgb="FFD6EAF8"/>
      </patternFill>
    </fill>
    <fill>
      <patternFill patternType="solid">
        <fgColor rgb="FFFCF3CF"/>
        <bgColor rgb="FFFDEDEC"/>
      </patternFill>
    </fill>
    <fill>
      <patternFill patternType="solid">
        <fgColor rgb="FFD4AC0D"/>
        <bgColor rgb="FFFFCC00"/>
      </patternFill>
    </fill>
  </fills>
  <borders count="4">
    <border>
      <left/>
      <right/>
      <top/>
      <bottom/>
      <diagonal/>
    </border>
    <border>
      <left/>
      <right/>
      <top/>
      <bottom style="thin">
        <color rgb="FF2E86C1"/>
      </bottom>
      <diagonal/>
    </border>
    <border>
      <left style="thin">
        <color rgb="FFBDBDBD"/>
      </left>
      <right style="thin">
        <color rgb="FFBDBDBD"/>
      </right>
      <top style="thin">
        <color rgb="FFBDBDBD"/>
      </top>
      <bottom style="thin">
        <color rgb="FFBDBDBD"/>
      </bottom>
      <diagonal/>
    </border>
    <border>
      <left/>
      <right/>
      <top/>
      <bottom style="medium">
        <color rgb="FF0D1B2A"/>
      </bottom>
      <diagonal/>
    </border>
  </borders>
  <cellStyleXfs count="1">
    <xf numFmtId="0" fontId="0" fillId="0" borderId="0"/>
  </cellStyleXfs>
  <cellXfs count="168">
    <xf numFmtId="0" fontId="0" fillId="0" borderId="0" xfId="0"/>
    <xf numFmtId="0" fontId="6" fillId="8" borderId="0" xfId="0" applyFont="1" applyFill="1" applyAlignment="1">
      <alignment horizontal="left" vertical="center" wrapText="1" indent="1"/>
    </xf>
    <xf numFmtId="0" fontId="17" fillId="4" borderId="0" xfId="0" applyFont="1" applyFill="1" applyAlignment="1">
      <alignment horizontal="left" vertical="center" wrapText="1" indent="1"/>
    </xf>
    <xf numFmtId="0" fontId="16" fillId="2" borderId="0" xfId="0" applyFont="1" applyFill="1" applyAlignment="1">
      <alignment horizontal="left" vertical="center" wrapText="1" indent="1"/>
    </xf>
    <xf numFmtId="0" fontId="0" fillId="2" borderId="0" xfId="0" applyFill="1"/>
    <xf numFmtId="0" fontId="0" fillId="3" borderId="0" xfId="0" applyFill="1"/>
    <xf numFmtId="0" fontId="5" fillId="2" borderId="0" xfId="0" applyFont="1" applyFill="1" applyAlignment="1">
      <alignment horizontal="left" vertical="center" wrapText="1" indent="1"/>
    </xf>
    <xf numFmtId="0" fontId="6" fillId="2" borderId="1" xfId="0" applyFont="1" applyFill="1" applyBorder="1" applyAlignment="1">
      <alignment horizontal="left" vertical="center" wrapText="1" indent="1"/>
    </xf>
    <xf numFmtId="0" fontId="8" fillId="2" borderId="0" xfId="0" applyFont="1" applyFill="1" applyAlignment="1">
      <alignment horizontal="center" vertical="center" wrapText="1"/>
    </xf>
    <xf numFmtId="0" fontId="9" fillId="2" borderId="0" xfId="0" applyFont="1" applyFill="1" applyAlignment="1">
      <alignment horizontal="left" vertical="center" wrapText="1" indent="1"/>
    </xf>
    <xf numFmtId="0" fontId="11" fillId="2" borderId="0" xfId="0" applyFont="1" applyFill="1" applyAlignment="1">
      <alignment horizontal="left" vertical="center" wrapText="1" indent="1"/>
    </xf>
    <xf numFmtId="0" fontId="12" fillId="2" borderId="0" xfId="0" applyFont="1" applyFill="1" applyAlignment="1">
      <alignment horizontal="left" vertical="center" wrapText="1" indent="1"/>
    </xf>
    <xf numFmtId="0" fontId="13" fillId="2" borderId="0" xfId="0" applyFont="1" applyFill="1" applyAlignment="1">
      <alignment horizontal="left" vertical="center" wrapText="1" indent="1"/>
    </xf>
    <xf numFmtId="0" fontId="18" fillId="6" borderId="2" xfId="0" applyFont="1" applyFill="1" applyBorder="1" applyAlignment="1">
      <alignment horizontal="center" vertical="center" wrapText="1"/>
    </xf>
    <xf numFmtId="0" fontId="19" fillId="4" borderId="2" xfId="0" applyFont="1" applyFill="1" applyBorder="1" applyAlignment="1">
      <alignment horizontal="left" vertical="center" wrapText="1" indent="1"/>
    </xf>
    <xf numFmtId="3" fontId="11" fillId="7" borderId="2" xfId="0" applyNumberFormat="1" applyFont="1" applyFill="1" applyBorder="1" applyAlignment="1">
      <alignment horizontal="right" vertical="center"/>
    </xf>
    <xf numFmtId="0" fontId="20" fillId="4" borderId="2" xfId="0" applyFont="1" applyFill="1" applyBorder="1" applyAlignment="1">
      <alignment horizontal="left" vertical="center" wrapText="1" indent="1"/>
    </xf>
    <xf numFmtId="164" fontId="11" fillId="7" borderId="2" xfId="0" applyNumberFormat="1" applyFont="1" applyFill="1" applyBorder="1" applyAlignment="1">
      <alignment horizontal="right" vertical="center"/>
    </xf>
    <xf numFmtId="0" fontId="21" fillId="9" borderId="2" xfId="0" applyFont="1" applyFill="1" applyBorder="1" applyAlignment="1">
      <alignment horizontal="left" vertical="center" wrapText="1" indent="1"/>
    </xf>
    <xf numFmtId="3" fontId="21" fillId="9" borderId="2" xfId="0" applyNumberFormat="1" applyFont="1" applyFill="1" applyBorder="1" applyAlignment="1">
      <alignment horizontal="right" vertical="center"/>
    </xf>
    <xf numFmtId="0" fontId="0" fillId="9" borderId="2" xfId="0" applyFill="1" applyBorder="1"/>
    <xf numFmtId="9" fontId="11" fillId="7" borderId="2" xfId="0" applyNumberFormat="1" applyFont="1" applyFill="1" applyBorder="1" applyAlignment="1">
      <alignment horizontal="right" vertical="center"/>
    </xf>
    <xf numFmtId="3" fontId="19" fillId="4" borderId="2" xfId="0" applyNumberFormat="1" applyFont="1" applyFill="1" applyBorder="1" applyAlignment="1">
      <alignment horizontal="right" vertical="center"/>
    </xf>
    <xf numFmtId="0" fontId="18" fillId="8" borderId="2" xfId="0" applyFont="1" applyFill="1" applyBorder="1" applyAlignment="1">
      <alignment horizontal="left" vertical="center" wrapText="1" indent="1"/>
    </xf>
    <xf numFmtId="3" fontId="18" fillId="8" borderId="2" xfId="0" applyNumberFormat="1" applyFont="1" applyFill="1" applyBorder="1" applyAlignment="1">
      <alignment horizontal="right" vertical="center"/>
    </xf>
    <xf numFmtId="10" fontId="11" fillId="7" borderId="2" xfId="0" applyNumberFormat="1" applyFont="1" applyFill="1" applyBorder="1" applyAlignment="1">
      <alignment horizontal="right" vertical="center"/>
    </xf>
    <xf numFmtId="2" fontId="11" fillId="7" borderId="2" xfId="0" applyNumberFormat="1" applyFont="1" applyFill="1" applyBorder="1" applyAlignment="1">
      <alignment horizontal="right" vertical="center"/>
    </xf>
    <xf numFmtId="0" fontId="20" fillId="4" borderId="0" xfId="0" applyFont="1" applyFill="1" applyAlignment="1">
      <alignment horizontal="left" vertical="center" wrapText="1" indent="1"/>
    </xf>
    <xf numFmtId="3" fontId="23" fillId="4" borderId="2" xfId="0" applyNumberFormat="1" applyFont="1" applyFill="1" applyBorder="1" applyAlignment="1">
      <alignment horizontal="right" vertical="center"/>
    </xf>
    <xf numFmtId="164" fontId="19" fillId="4" borderId="2" xfId="0" applyNumberFormat="1" applyFont="1" applyFill="1" applyBorder="1" applyAlignment="1">
      <alignment horizontal="right" vertical="center"/>
    </xf>
    <xf numFmtId="164" fontId="21" fillId="9" borderId="2" xfId="0" applyNumberFormat="1" applyFont="1" applyFill="1" applyBorder="1" applyAlignment="1">
      <alignment horizontal="right" vertical="center"/>
    </xf>
    <xf numFmtId="164" fontId="18" fillId="8" borderId="2" xfId="0" applyNumberFormat="1" applyFont="1" applyFill="1" applyBorder="1" applyAlignment="1">
      <alignment horizontal="right" vertical="center"/>
    </xf>
    <xf numFmtId="0" fontId="0" fillId="8" borderId="2" xfId="0" applyFill="1" applyBorder="1"/>
    <xf numFmtId="0" fontId="0" fillId="4" borderId="2" xfId="0" applyFill="1" applyBorder="1"/>
    <xf numFmtId="0" fontId="24" fillId="2" borderId="2" xfId="0" applyFont="1" applyFill="1" applyBorder="1" applyAlignment="1">
      <alignment horizontal="left" vertical="center" wrapText="1" indent="1"/>
    </xf>
    <xf numFmtId="3" fontId="24" fillId="2" borderId="2" xfId="0" applyNumberFormat="1" applyFont="1" applyFill="1" applyBorder="1" applyAlignment="1">
      <alignment horizontal="right" vertical="center"/>
    </xf>
    <xf numFmtId="0" fontId="6" fillId="2" borderId="2" xfId="0" applyFont="1" applyFill="1" applyBorder="1" applyAlignment="1">
      <alignment horizontal="right" vertical="center"/>
    </xf>
    <xf numFmtId="0" fontId="0" fillId="2" borderId="2" xfId="0" applyFill="1" applyBorder="1"/>
    <xf numFmtId="0" fontId="21" fillId="7" borderId="2" xfId="0" applyFont="1" applyFill="1" applyBorder="1" applyAlignment="1">
      <alignment horizontal="left" vertical="center" wrapText="1" indent="1"/>
    </xf>
    <xf numFmtId="2" fontId="21" fillId="7" borderId="2" xfId="0" applyNumberFormat="1" applyFont="1" applyFill="1" applyBorder="1" applyAlignment="1">
      <alignment horizontal="right" vertical="center"/>
    </xf>
    <xf numFmtId="0" fontId="0" fillId="7" borderId="2" xfId="0" applyFill="1" applyBorder="1"/>
    <xf numFmtId="0" fontId="0" fillId="6" borderId="2" xfId="0" applyFill="1" applyBorder="1"/>
    <xf numFmtId="0" fontId="19" fillId="7" borderId="2" xfId="0" applyFont="1" applyFill="1" applyBorder="1" applyAlignment="1">
      <alignment horizontal="left" vertical="center" wrapText="1" indent="1"/>
    </xf>
    <xf numFmtId="3" fontId="21" fillId="7" borderId="2" xfId="0" applyNumberFormat="1" applyFont="1" applyFill="1" applyBorder="1" applyAlignment="1">
      <alignment horizontal="right" vertical="center"/>
    </xf>
    <xf numFmtId="9" fontId="19" fillId="7" borderId="2" xfId="0" applyNumberFormat="1" applyFont="1" applyFill="1" applyBorder="1" applyAlignment="1">
      <alignment horizontal="right" vertical="center"/>
    </xf>
    <xf numFmtId="0" fontId="19" fillId="11" borderId="2" xfId="0" applyFont="1" applyFill="1" applyBorder="1" applyAlignment="1">
      <alignment horizontal="left" vertical="center" wrapText="1" indent="1"/>
    </xf>
    <xf numFmtId="3" fontId="21" fillId="11" borderId="2" xfId="0" applyNumberFormat="1" applyFont="1" applyFill="1" applyBorder="1" applyAlignment="1">
      <alignment horizontal="right" vertical="center"/>
    </xf>
    <xf numFmtId="9" fontId="19" fillId="11" borderId="2" xfId="0" applyNumberFormat="1" applyFont="1" applyFill="1" applyBorder="1" applyAlignment="1">
      <alignment horizontal="right" vertical="center"/>
    </xf>
    <xf numFmtId="0" fontId="0" fillId="11" borderId="2" xfId="0" applyFill="1" applyBorder="1"/>
    <xf numFmtId="0" fontId="6" fillId="2" borderId="2" xfId="0" applyFont="1" applyFill="1" applyBorder="1" applyAlignment="1">
      <alignment horizontal="left" vertical="center" wrapText="1" indent="1"/>
    </xf>
    <xf numFmtId="3" fontId="6" fillId="2" borderId="2" xfId="0" applyNumberFormat="1" applyFont="1" applyFill="1" applyBorder="1" applyAlignment="1">
      <alignment horizontal="right" vertical="center"/>
    </xf>
    <xf numFmtId="0" fontId="17" fillId="12" borderId="2" xfId="0" applyFont="1" applyFill="1" applyBorder="1" applyAlignment="1">
      <alignment horizontal="left" vertical="center" wrapText="1" indent="1"/>
    </xf>
    <xf numFmtId="3" fontId="21" fillId="12" borderId="2" xfId="0" applyNumberFormat="1" applyFont="1" applyFill="1" applyBorder="1" applyAlignment="1">
      <alignment horizontal="right" vertical="center"/>
    </xf>
    <xf numFmtId="0" fontId="0" fillId="12" borderId="2" xfId="0" applyFill="1" applyBorder="1"/>
    <xf numFmtId="4" fontId="23" fillId="11" borderId="2" xfId="0" applyNumberFormat="1" applyFont="1" applyFill="1" applyBorder="1" applyAlignment="1">
      <alignment horizontal="right" vertical="center"/>
    </xf>
    <xf numFmtId="1" fontId="11" fillId="7" borderId="2" xfId="0" applyNumberFormat="1" applyFont="1" applyFill="1" applyBorder="1" applyAlignment="1">
      <alignment horizontal="right" vertical="center"/>
    </xf>
    <xf numFmtId="4" fontId="20" fillId="4" borderId="2" xfId="0" applyNumberFormat="1" applyFont="1" applyFill="1" applyBorder="1" applyAlignment="1">
      <alignment horizontal="right" vertical="center"/>
    </xf>
    <xf numFmtId="0" fontId="18" fillId="2" borderId="2" xfId="0" applyFont="1" applyFill="1" applyBorder="1" applyAlignment="1">
      <alignment horizontal="left" vertical="center" wrapText="1" indent="1"/>
    </xf>
    <xf numFmtId="0" fontId="18" fillId="2" borderId="2" xfId="0" applyFont="1" applyFill="1" applyBorder="1" applyAlignment="1">
      <alignment horizontal="center" vertical="center" wrapText="1"/>
    </xf>
    <xf numFmtId="1" fontId="19" fillId="4" borderId="2" xfId="0" applyNumberFormat="1" applyFont="1" applyFill="1" applyBorder="1" applyAlignment="1">
      <alignment horizontal="center" vertical="center" wrapText="1"/>
    </xf>
    <xf numFmtId="164" fontId="19" fillId="7" borderId="2" xfId="0" applyNumberFormat="1" applyFont="1" applyFill="1" applyBorder="1" applyAlignment="1">
      <alignment horizontal="right" vertical="center"/>
    </xf>
    <xf numFmtId="165" fontId="19" fillId="4" borderId="2" xfId="0" applyNumberFormat="1" applyFont="1" applyFill="1" applyBorder="1" applyAlignment="1">
      <alignment horizontal="right" vertical="center"/>
    </xf>
    <xf numFmtId="2" fontId="19" fillId="7" borderId="2" xfId="0" applyNumberFormat="1" applyFont="1" applyFill="1" applyBorder="1" applyAlignment="1">
      <alignment horizontal="right" vertical="center"/>
    </xf>
    <xf numFmtId="0" fontId="25" fillId="11" borderId="2" xfId="0" applyFont="1" applyFill="1" applyBorder="1" applyAlignment="1">
      <alignment horizontal="left" vertical="center" wrapText="1" indent="1"/>
    </xf>
    <xf numFmtId="4" fontId="25" fillId="11" borderId="2" xfId="0" applyNumberFormat="1" applyFont="1" applyFill="1" applyBorder="1" applyAlignment="1">
      <alignment horizontal="right" vertical="center"/>
    </xf>
    <xf numFmtId="0" fontId="6" fillId="5" borderId="2" xfId="0" applyFont="1" applyFill="1" applyBorder="1" applyAlignment="1">
      <alignment horizontal="left" vertical="center" wrapText="1" indent="1"/>
    </xf>
    <xf numFmtId="0" fontId="0" fillId="5" borderId="2" xfId="0" applyFill="1" applyBorder="1"/>
    <xf numFmtId="4" fontId="6" fillId="5" borderId="2" xfId="0" applyNumberFormat="1" applyFont="1" applyFill="1" applyBorder="1" applyAlignment="1">
      <alignment horizontal="right" vertical="center"/>
    </xf>
    <xf numFmtId="0" fontId="19" fillId="9" borderId="2" xfId="0" applyFont="1" applyFill="1" applyBorder="1" applyAlignment="1">
      <alignment horizontal="left" vertical="center" wrapText="1" indent="1"/>
    </xf>
    <xf numFmtId="4" fontId="19" fillId="9" borderId="2" xfId="0" applyNumberFormat="1" applyFont="1" applyFill="1" applyBorder="1" applyAlignment="1">
      <alignment horizontal="right" vertical="center"/>
    </xf>
    <xf numFmtId="0" fontId="6" fillId="8" borderId="2" xfId="0" applyFont="1" applyFill="1" applyBorder="1" applyAlignment="1">
      <alignment horizontal="left" vertical="center" wrapText="1" indent="1"/>
    </xf>
    <xf numFmtId="4" fontId="6" fillId="8" borderId="2" xfId="0" applyNumberFormat="1" applyFont="1" applyFill="1" applyBorder="1" applyAlignment="1">
      <alignment horizontal="right" vertical="center"/>
    </xf>
    <xf numFmtId="4" fontId="19" fillId="4" borderId="2" xfId="0" applyNumberFormat="1" applyFont="1" applyFill="1" applyBorder="1" applyAlignment="1">
      <alignment horizontal="right" vertical="center"/>
    </xf>
    <xf numFmtId="4" fontId="19" fillId="7" borderId="2" xfId="0" applyNumberFormat="1" applyFont="1" applyFill="1" applyBorder="1" applyAlignment="1">
      <alignment horizontal="right" vertical="center"/>
    </xf>
    <xf numFmtId="0" fontId="21" fillId="11" borderId="2" xfId="0" applyFont="1" applyFill="1" applyBorder="1" applyAlignment="1">
      <alignment horizontal="left" vertical="center" wrapText="1" indent="1"/>
    </xf>
    <xf numFmtId="4" fontId="21" fillId="11" borderId="2" xfId="0" applyNumberFormat="1" applyFont="1" applyFill="1" applyBorder="1" applyAlignment="1">
      <alignment horizontal="right" vertical="center"/>
    </xf>
    <xf numFmtId="4" fontId="21" fillId="9" borderId="2" xfId="0" applyNumberFormat="1" applyFont="1" applyFill="1" applyBorder="1" applyAlignment="1">
      <alignment horizontal="right" vertical="center"/>
    </xf>
    <xf numFmtId="0" fontId="19" fillId="4" borderId="2" xfId="0" applyFont="1" applyFill="1" applyBorder="1" applyAlignment="1">
      <alignment horizontal="center" vertical="center" wrapText="1"/>
    </xf>
    <xf numFmtId="0" fontId="21" fillId="12" borderId="2" xfId="0" applyFont="1" applyFill="1" applyBorder="1" applyAlignment="1">
      <alignment horizontal="left" vertical="center" wrapText="1" indent="1"/>
    </xf>
    <xf numFmtId="4" fontId="21" fillId="12" borderId="2" xfId="0" applyNumberFormat="1" applyFont="1" applyFill="1" applyBorder="1" applyAlignment="1">
      <alignment horizontal="right" vertical="center"/>
    </xf>
    <xf numFmtId="4" fontId="19" fillId="11" borderId="2" xfId="0" applyNumberFormat="1" applyFont="1" applyFill="1" applyBorder="1" applyAlignment="1">
      <alignment horizontal="right" vertical="center"/>
    </xf>
    <xf numFmtId="4" fontId="23" fillId="4" borderId="2" xfId="0" applyNumberFormat="1" applyFont="1" applyFill="1" applyBorder="1" applyAlignment="1">
      <alignment horizontal="right" vertical="center"/>
    </xf>
    <xf numFmtId="0" fontId="18" fillId="5" borderId="2" xfId="0" applyFont="1" applyFill="1" applyBorder="1" applyAlignment="1">
      <alignment horizontal="left" vertical="center" wrapText="1" indent="1"/>
    </xf>
    <xf numFmtId="4" fontId="18" fillId="5" borderId="2" xfId="0" applyNumberFormat="1" applyFont="1" applyFill="1" applyBorder="1" applyAlignment="1">
      <alignment horizontal="right" vertical="center"/>
    </xf>
    <xf numFmtId="0" fontId="21" fillId="4" borderId="2" xfId="0" applyFont="1" applyFill="1" applyBorder="1" applyAlignment="1">
      <alignment horizontal="left" vertical="center" wrapText="1" indent="1"/>
    </xf>
    <xf numFmtId="4" fontId="21" fillId="4" borderId="2" xfId="0" applyNumberFormat="1" applyFont="1" applyFill="1" applyBorder="1" applyAlignment="1">
      <alignment horizontal="right" vertical="center"/>
    </xf>
    <xf numFmtId="4" fontId="23" fillId="9" borderId="2" xfId="0" applyNumberFormat="1" applyFont="1" applyFill="1" applyBorder="1" applyAlignment="1">
      <alignment horizontal="right" vertical="center"/>
    </xf>
    <xf numFmtId="4" fontId="18" fillId="8" borderId="2" xfId="0" applyNumberFormat="1" applyFont="1" applyFill="1" applyBorder="1" applyAlignment="1">
      <alignment horizontal="right" vertical="center"/>
    </xf>
    <xf numFmtId="0" fontId="17" fillId="4" borderId="2" xfId="0" applyFont="1" applyFill="1" applyBorder="1" applyAlignment="1">
      <alignment horizontal="left" vertical="center" wrapText="1" indent="1"/>
    </xf>
    <xf numFmtId="164" fontId="17" fillId="4" borderId="2" xfId="0" applyNumberFormat="1" applyFont="1" applyFill="1" applyBorder="1" applyAlignment="1">
      <alignment horizontal="right" vertical="center"/>
    </xf>
    <xf numFmtId="4" fontId="23" fillId="7" borderId="2" xfId="0" applyNumberFormat="1" applyFont="1" applyFill="1" applyBorder="1" applyAlignment="1">
      <alignment horizontal="right" vertical="center"/>
    </xf>
    <xf numFmtId="0" fontId="18" fillId="6" borderId="2" xfId="0" applyFont="1" applyFill="1" applyBorder="1" applyAlignment="1">
      <alignment horizontal="left" vertical="center" wrapText="1" indent="1"/>
    </xf>
    <xf numFmtId="4" fontId="18" fillId="6" borderId="2" xfId="0" applyNumberFormat="1" applyFont="1" applyFill="1" applyBorder="1" applyAlignment="1">
      <alignment horizontal="right" vertical="center"/>
    </xf>
    <xf numFmtId="0" fontId="6" fillId="3" borderId="2" xfId="0" applyFont="1" applyFill="1" applyBorder="1" applyAlignment="1">
      <alignment horizontal="left" vertical="center" wrapText="1" indent="1"/>
    </xf>
    <xf numFmtId="4" fontId="6" fillId="3" borderId="2" xfId="0" applyNumberFormat="1" applyFont="1" applyFill="1" applyBorder="1" applyAlignment="1">
      <alignment horizontal="right" vertical="center"/>
    </xf>
    <xf numFmtId="0" fontId="19" fillId="12" borderId="2" xfId="0" applyFont="1" applyFill="1" applyBorder="1" applyAlignment="1">
      <alignment horizontal="left" vertical="center" wrapText="1" indent="1"/>
    </xf>
    <xf numFmtId="4" fontId="19" fillId="12" borderId="2" xfId="0" applyNumberFormat="1" applyFont="1" applyFill="1" applyBorder="1" applyAlignment="1">
      <alignment horizontal="right" vertical="center"/>
    </xf>
    <xf numFmtId="0" fontId="18" fillId="3" borderId="2" xfId="0" applyFont="1" applyFill="1" applyBorder="1" applyAlignment="1">
      <alignment horizontal="left" vertical="center" wrapText="1" indent="1"/>
    </xf>
    <xf numFmtId="4" fontId="18" fillId="3" borderId="2" xfId="0" applyNumberFormat="1" applyFont="1" applyFill="1" applyBorder="1" applyAlignment="1">
      <alignment horizontal="right" vertical="center"/>
    </xf>
    <xf numFmtId="4" fontId="6" fillId="2" borderId="2" xfId="0" applyNumberFormat="1" applyFont="1" applyFill="1" applyBorder="1" applyAlignment="1">
      <alignment horizontal="right" vertical="center"/>
    </xf>
    <xf numFmtId="4" fontId="0" fillId="0" borderId="0" xfId="0" applyNumberFormat="1"/>
    <xf numFmtId="0" fontId="0" fillId="3" borderId="2" xfId="0" applyFill="1" applyBorder="1"/>
    <xf numFmtId="166" fontId="6" fillId="3" borderId="2" xfId="0" applyNumberFormat="1" applyFont="1" applyFill="1" applyBorder="1" applyAlignment="1">
      <alignment horizontal="right" vertical="center"/>
    </xf>
    <xf numFmtId="166" fontId="26" fillId="13" borderId="2" xfId="0" applyNumberFormat="1" applyFont="1" applyFill="1" applyBorder="1" applyAlignment="1">
      <alignment horizontal="right" vertical="center"/>
    </xf>
    <xf numFmtId="10" fontId="23" fillId="4" borderId="2" xfId="0" applyNumberFormat="1" applyFont="1" applyFill="1" applyBorder="1" applyAlignment="1">
      <alignment horizontal="right" vertical="center"/>
    </xf>
    <xf numFmtId="2" fontId="23" fillId="4" borderId="2" xfId="0" applyNumberFormat="1" applyFont="1" applyFill="1" applyBorder="1" applyAlignment="1">
      <alignment horizontal="right" vertical="center"/>
    </xf>
    <xf numFmtId="10" fontId="25" fillId="11" borderId="2" xfId="0" applyNumberFormat="1" applyFont="1" applyFill="1" applyBorder="1" applyAlignment="1">
      <alignment horizontal="right" vertical="center"/>
    </xf>
    <xf numFmtId="10" fontId="27" fillId="9" borderId="2" xfId="0" applyNumberFormat="1" applyFont="1" applyFill="1" applyBorder="1" applyAlignment="1">
      <alignment horizontal="right" vertical="center"/>
    </xf>
    <xf numFmtId="164" fontId="23" fillId="7" borderId="2" xfId="0" applyNumberFormat="1" applyFont="1" applyFill="1" applyBorder="1" applyAlignment="1">
      <alignment horizontal="right" vertical="center"/>
    </xf>
    <xf numFmtId="0" fontId="24" fillId="3" borderId="2" xfId="0" applyFont="1" applyFill="1" applyBorder="1" applyAlignment="1">
      <alignment horizontal="left" vertical="center" wrapText="1" indent="1"/>
    </xf>
    <xf numFmtId="10" fontId="24" fillId="3" borderId="2" xfId="0" applyNumberFormat="1" applyFont="1" applyFill="1" applyBorder="1" applyAlignment="1">
      <alignment horizontal="right" vertical="center"/>
    </xf>
    <xf numFmtId="10" fontId="24" fillId="5" borderId="2" xfId="0" applyNumberFormat="1" applyFont="1" applyFill="1" applyBorder="1" applyAlignment="1">
      <alignment horizontal="right" vertical="center"/>
    </xf>
    <xf numFmtId="167" fontId="19" fillId="4" borderId="2" xfId="0" applyNumberFormat="1" applyFont="1" applyFill="1" applyBorder="1" applyAlignment="1">
      <alignment horizontal="right" vertical="center"/>
    </xf>
    <xf numFmtId="0" fontId="20" fillId="4" borderId="2" xfId="0" applyFont="1" applyFill="1" applyBorder="1"/>
    <xf numFmtId="10" fontId="24" fillId="8" borderId="2" xfId="0" applyNumberFormat="1" applyFont="1" applyFill="1" applyBorder="1" applyAlignment="1">
      <alignment horizontal="right" vertical="center"/>
    </xf>
    <xf numFmtId="4" fontId="27" fillId="9" borderId="2" xfId="0" applyNumberFormat="1" applyFont="1" applyFill="1" applyBorder="1" applyAlignment="1">
      <alignment horizontal="right" vertical="center"/>
    </xf>
    <xf numFmtId="0" fontId="18" fillId="4" borderId="2" xfId="0" applyFont="1" applyFill="1" applyBorder="1" applyAlignment="1">
      <alignment horizontal="center" vertical="center" wrapText="1"/>
    </xf>
    <xf numFmtId="166" fontId="11" fillId="7" borderId="2" xfId="0" applyNumberFormat="1" applyFont="1" applyFill="1" applyBorder="1" applyAlignment="1">
      <alignment horizontal="right" vertical="center"/>
    </xf>
    <xf numFmtId="166" fontId="25" fillId="11" borderId="2" xfId="0" applyNumberFormat="1" applyFont="1" applyFill="1" applyBorder="1" applyAlignment="1">
      <alignment horizontal="right" vertical="center"/>
    </xf>
    <xf numFmtId="2" fontId="24" fillId="3" borderId="2" xfId="0" applyNumberFormat="1" applyFont="1" applyFill="1" applyBorder="1" applyAlignment="1">
      <alignment horizontal="right" vertical="center"/>
    </xf>
    <xf numFmtId="168" fontId="28" fillId="7" borderId="2" xfId="0" applyNumberFormat="1" applyFont="1" applyFill="1" applyBorder="1" applyAlignment="1">
      <alignment horizontal="center" vertical="center" wrapText="1"/>
    </xf>
    <xf numFmtId="169" fontId="28" fillId="7" borderId="2" xfId="0" applyNumberFormat="1" applyFont="1" applyFill="1" applyBorder="1" applyAlignment="1">
      <alignment horizontal="center" vertical="center" wrapText="1"/>
    </xf>
    <xf numFmtId="166" fontId="21" fillId="12" borderId="2" xfId="0" applyNumberFormat="1" applyFont="1" applyFill="1" applyBorder="1" applyAlignment="1">
      <alignment horizontal="center" vertical="center" wrapText="1"/>
    </xf>
    <xf numFmtId="9" fontId="23" fillId="7" borderId="2" xfId="0" applyNumberFormat="1" applyFont="1" applyFill="1" applyBorder="1" applyAlignment="1">
      <alignment horizontal="right" vertical="center"/>
    </xf>
    <xf numFmtId="2" fontId="23" fillId="7" borderId="2" xfId="0" applyNumberFormat="1" applyFont="1" applyFill="1" applyBorder="1" applyAlignment="1">
      <alignment horizontal="right" vertical="center"/>
    </xf>
    <xf numFmtId="10" fontId="23" fillId="7" borderId="2" xfId="0" applyNumberFormat="1" applyFont="1" applyFill="1" applyBorder="1" applyAlignment="1">
      <alignment horizontal="right" vertical="center"/>
    </xf>
    <xf numFmtId="0" fontId="21" fillId="10" borderId="2" xfId="0" applyFont="1" applyFill="1" applyBorder="1" applyAlignment="1">
      <alignment horizontal="left" vertical="center" wrapText="1" indent="1"/>
    </xf>
    <xf numFmtId="166" fontId="29" fillId="10" borderId="2" xfId="0" applyNumberFormat="1" applyFont="1" applyFill="1" applyBorder="1" applyAlignment="1">
      <alignment horizontal="right" vertical="center"/>
    </xf>
    <xf numFmtId="0" fontId="17" fillId="10" borderId="2" xfId="0" applyFont="1" applyFill="1" applyBorder="1" applyAlignment="1">
      <alignment horizontal="left" vertical="center" wrapText="1" indent="1"/>
    </xf>
    <xf numFmtId="0" fontId="0" fillId="10" borderId="2" xfId="0" applyFill="1" applyBorder="1"/>
    <xf numFmtId="2" fontId="6" fillId="3" borderId="2" xfId="0" applyNumberFormat="1" applyFont="1" applyFill="1" applyBorder="1" applyAlignment="1">
      <alignment horizontal="right" vertical="center"/>
    </xf>
    <xf numFmtId="0" fontId="17" fillId="3" borderId="2" xfId="0" applyFont="1" applyFill="1" applyBorder="1" applyAlignment="1">
      <alignment horizontal="left" vertical="center" wrapText="1" indent="1"/>
    </xf>
    <xf numFmtId="0" fontId="25" fillId="11" borderId="2" xfId="0" applyFont="1" applyFill="1" applyBorder="1" applyAlignment="1">
      <alignment horizontal="right" vertical="center"/>
    </xf>
    <xf numFmtId="0" fontId="21" fillId="13" borderId="2" xfId="0" applyFont="1" applyFill="1" applyBorder="1" applyAlignment="1">
      <alignment horizontal="left" vertical="center" wrapText="1" indent="1"/>
    </xf>
    <xf numFmtId="166" fontId="21" fillId="13" borderId="2" xfId="0" applyNumberFormat="1" applyFont="1" applyFill="1" applyBorder="1" applyAlignment="1">
      <alignment horizontal="right" vertical="center"/>
    </xf>
    <xf numFmtId="166" fontId="23" fillId="13" borderId="2" xfId="0" applyNumberFormat="1" applyFont="1" applyFill="1" applyBorder="1" applyAlignment="1">
      <alignment horizontal="right" vertical="center"/>
    </xf>
    <xf numFmtId="0" fontId="31" fillId="13" borderId="2" xfId="0" applyFont="1" applyFill="1" applyBorder="1" applyAlignment="1">
      <alignment horizontal="left" vertical="center" wrapText="1" indent="1"/>
    </xf>
    <xf numFmtId="4" fontId="31" fillId="13" borderId="2" xfId="0" applyNumberFormat="1" applyFont="1" applyFill="1" applyBorder="1" applyAlignment="1">
      <alignment horizontal="right" vertical="center"/>
    </xf>
    <xf numFmtId="0" fontId="6" fillId="2" borderId="0" xfId="0" applyFont="1" applyFill="1" applyAlignment="1">
      <alignment horizontal="left" vertical="center" wrapText="1" indent="1"/>
    </xf>
    <xf numFmtId="17" fontId="6" fillId="2" borderId="0" xfId="0" applyNumberFormat="1" applyFont="1" applyFill="1" applyAlignment="1">
      <alignment horizontal="left" vertical="center" wrapText="1" indent="1"/>
    </xf>
    <xf numFmtId="0" fontId="16" fillId="2" borderId="0" xfId="0" applyFont="1" applyFill="1" applyAlignment="1">
      <alignment horizontal="left" vertical="center" wrapText="1" indent="1"/>
    </xf>
    <xf numFmtId="0" fontId="17" fillId="4" borderId="0" xfId="0" applyFont="1" applyFill="1" applyAlignment="1">
      <alignment horizontal="left" vertical="center" wrapText="1" indent="1"/>
    </xf>
    <xf numFmtId="0" fontId="6" fillId="5" borderId="0" xfId="0" applyFont="1" applyFill="1" applyAlignment="1">
      <alignment horizontal="left" vertical="center" wrapText="1" indent="1"/>
    </xf>
    <xf numFmtId="0" fontId="6" fillId="8" borderId="0" xfId="0" applyFont="1" applyFill="1" applyAlignment="1">
      <alignment horizontal="left" vertical="center" wrapText="1" indent="1"/>
    </xf>
    <xf numFmtId="0" fontId="20" fillId="4" borderId="0" xfId="0" applyFont="1" applyFill="1" applyAlignment="1">
      <alignment horizontal="left" vertical="center" wrapText="1" indent="1"/>
    </xf>
    <xf numFmtId="0" fontId="7" fillId="2" borderId="0" xfId="0" applyFont="1" applyFill="1" applyAlignment="1">
      <alignment horizontal="left" vertical="center" wrapText="1"/>
    </xf>
    <xf numFmtId="0" fontId="10" fillId="2" borderId="0" xfId="0" applyFont="1" applyFill="1" applyAlignment="1">
      <alignment horizontal="left" vertical="center" wrapText="1"/>
    </xf>
    <xf numFmtId="0" fontId="14" fillId="2" borderId="0" xfId="0" applyFont="1" applyFill="1" applyAlignment="1">
      <alignment horizontal="left" vertical="center" wrapText="1" indent="1"/>
    </xf>
    <xf numFmtId="0" fontId="15" fillId="0" borderId="0" xfId="0" applyFont="1" applyAlignment="1">
      <alignment horizontal="center" vertical="center" wrapText="1"/>
    </xf>
    <xf numFmtId="0" fontId="1" fillId="2" borderId="0" xfId="0" applyFont="1" applyFill="1" applyAlignment="1">
      <alignment horizontal="left" vertical="center" wrapText="1"/>
    </xf>
    <xf numFmtId="0" fontId="2" fillId="3" borderId="0" xfId="0" applyFont="1" applyFill="1" applyAlignment="1">
      <alignment horizontal="left" vertical="center" wrapText="1" indent="1"/>
    </xf>
    <xf numFmtId="0" fontId="33" fillId="2" borderId="0" xfId="0" applyFont="1" applyFill="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6" fillId="6" borderId="0" xfId="0" applyFont="1" applyFill="1" applyAlignment="1">
      <alignment horizontal="left" vertical="center" wrapText="1" indent="1"/>
    </xf>
    <xf numFmtId="0" fontId="22" fillId="10" borderId="0" xfId="0" applyFont="1" applyFill="1" applyAlignment="1">
      <alignment horizontal="left" vertical="center" wrapText="1" indent="1"/>
    </xf>
    <xf numFmtId="0" fontId="6" fillId="3" borderId="0" xfId="0" applyFont="1" applyFill="1" applyAlignment="1">
      <alignment horizontal="left" vertical="center" wrapText="1" indent="1"/>
    </xf>
    <xf numFmtId="0" fontId="6" fillId="5" borderId="2" xfId="0" applyFont="1" applyFill="1" applyBorder="1" applyAlignment="1">
      <alignment horizontal="left" vertical="center" wrapText="1" indent="1"/>
    </xf>
    <xf numFmtId="0" fontId="6" fillId="8" borderId="2" xfId="0" applyFont="1" applyFill="1" applyBorder="1" applyAlignment="1">
      <alignment horizontal="left" vertical="center" wrapText="1" indent="1"/>
    </xf>
    <xf numFmtId="0" fontId="0" fillId="0" borderId="0" xfId="0"/>
    <xf numFmtId="0" fontId="6" fillId="6" borderId="2" xfId="0" applyFont="1" applyFill="1" applyBorder="1" applyAlignment="1">
      <alignment horizontal="left" vertical="center" wrapText="1" indent="1"/>
    </xf>
    <xf numFmtId="0" fontId="6" fillId="2" borderId="0" xfId="0" applyFont="1" applyFill="1" applyAlignment="1">
      <alignment horizontal="left" vertical="center" wrapText="1" indent="1"/>
    </xf>
    <xf numFmtId="0" fontId="30" fillId="10" borderId="0" xfId="0" applyFont="1" applyFill="1" applyAlignment="1">
      <alignment horizontal="left" vertical="center" wrapText="1" indent="1"/>
    </xf>
    <xf numFmtId="0" fontId="34" fillId="2" borderId="0" xfId="0" applyFont="1" applyFill="1" applyAlignment="1">
      <alignment horizontal="left" vertical="center" wrapText="1" indent="1"/>
    </xf>
    <xf numFmtId="0" fontId="31" fillId="4" borderId="3" xfId="0" applyFont="1" applyFill="1" applyBorder="1" applyAlignment="1">
      <alignment horizontal="left" vertical="center" wrapText="1" indent="1"/>
    </xf>
    <xf numFmtId="0" fontId="19" fillId="4" borderId="0" xfId="0" applyFont="1" applyFill="1" applyAlignment="1">
      <alignment horizontal="left" vertical="center" wrapText="1" indent="2"/>
    </xf>
    <xf numFmtId="0" fontId="32" fillId="4" borderId="0" xfId="0" applyFont="1" applyFill="1" applyAlignment="1">
      <alignment horizontal="center" vertical="center" wrapText="1"/>
    </xf>
    <xf numFmtId="0" fontId="29" fillId="10" borderId="3"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DEDEC"/>
      <rgbColor rgb="FFFF00FF"/>
      <rgbColor rgb="FF00FFFF"/>
      <rgbColor rgb="FF800000"/>
      <rgbColor rgb="FF008000"/>
      <rgbColor rgb="FF000080"/>
      <rgbColor rgb="FF808000"/>
      <rgbColor rgb="FF800080"/>
      <rgbColor rgb="FF117A65"/>
      <rgbColor rgb="FFBDBDBD"/>
      <rgbColor rgb="FF888888"/>
      <rgbColor rgb="FF9999FF"/>
      <rgbColor rgb="FF922B21"/>
      <rgbColor rgb="FFFCF3CF"/>
      <rgbColor rgb="FFD6EAF8"/>
      <rgbColor rgb="FF660066"/>
      <rgbColor rgb="FFFF8080"/>
      <rgbColor rgb="FF0066CC"/>
      <rgbColor rgb="FFD7BDE2"/>
      <rgbColor rgb="FF000080"/>
      <rgbColor rgb="FFFF00FF"/>
      <rgbColor rgb="FFFFFF00"/>
      <rgbColor rgb="FF00FFFF"/>
      <rgbColor rgb="FF800080"/>
      <rgbColor rgb="FF800000"/>
      <rgbColor rgb="FF008080"/>
      <rgbColor rgb="FF0000FF"/>
      <rgbColor rgb="FF00CCFF"/>
      <rgbColor rgb="FFF2F3F4"/>
      <rgbColor rgb="FFD5F5E3"/>
      <rgbColor rgb="FFFAE5D3"/>
      <rgbColor rgb="FFAED6F1"/>
      <rgbColor rgb="FFF3E5F5"/>
      <rgbColor rgb="FFBDC3C7"/>
      <rgbColor rgb="FFF5B7B1"/>
      <rgbColor rgb="FF2E86C1"/>
      <rgbColor rgb="FF33CCCC"/>
      <rgbColor rgb="FF99CC00"/>
      <rgbColor rgb="FFFFCC00"/>
      <rgbColor rgb="FFD4AC0D"/>
      <rgbColor rgb="FFFF6600"/>
      <rgbColor rgb="FF555555"/>
      <rgbColor rgb="FF7F8C8D"/>
      <rgbColor rgb="FF1B4F72"/>
      <rgbColor rgb="FF339966"/>
      <rgbColor rgb="FF0D1B2A"/>
      <rgbColor rgb="FF333300"/>
      <rgbColor rgb="FFA04000"/>
      <rgbColor rgb="FF6C3483"/>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1B2A"/>
  </sheetPr>
  <dimension ref="A1:G60"/>
  <sheetViews>
    <sheetView zoomScaleNormal="100" workbookViewId="0">
      <selection activeCell="B10" sqref="B10:C10"/>
    </sheetView>
  </sheetViews>
  <sheetFormatPr defaultColWidth="8.7109375" defaultRowHeight="15" x14ac:dyDescent="0.25"/>
  <cols>
    <col min="1" max="1" width="3" customWidth="1"/>
    <col min="2" max="2" width="32" customWidth="1"/>
    <col min="3" max="3" width="62.7109375" customWidth="1"/>
    <col min="4" max="4" width="5" customWidth="1"/>
    <col min="6" max="6" width="0.7109375" customWidth="1"/>
    <col min="7" max="7" width="8.7109375" hidden="1" customWidth="1"/>
  </cols>
  <sheetData>
    <row r="1" spans="1:7" ht="18" customHeight="1" x14ac:dyDescent="0.25">
      <c r="A1" s="4"/>
      <c r="B1" s="4"/>
      <c r="C1" s="4"/>
      <c r="D1" s="4"/>
      <c r="E1" s="4"/>
      <c r="F1" s="4"/>
      <c r="G1" s="4"/>
    </row>
    <row r="2" spans="1:7" ht="31.5" customHeight="1" x14ac:dyDescent="0.25">
      <c r="A2" s="4"/>
      <c r="B2" s="149" t="s">
        <v>0</v>
      </c>
      <c r="C2" s="149"/>
      <c r="D2" s="4"/>
      <c r="E2" s="4"/>
      <c r="F2" s="4"/>
      <c r="G2" s="4"/>
    </row>
    <row r="3" spans="1:7" ht="27.75" customHeight="1" x14ac:dyDescent="0.25">
      <c r="A3" s="4"/>
      <c r="B3" s="149"/>
      <c r="C3" s="149"/>
      <c r="D3" s="4"/>
      <c r="E3" s="4"/>
      <c r="F3" s="4"/>
      <c r="G3" s="4"/>
    </row>
    <row r="4" spans="1:7" ht="18" customHeight="1" x14ac:dyDescent="0.25">
      <c r="A4" s="5"/>
      <c r="B4" s="150" t="s">
        <v>1</v>
      </c>
      <c r="C4" s="150"/>
      <c r="D4" s="5"/>
      <c r="E4" s="5"/>
      <c r="F4" s="5"/>
      <c r="G4" s="5"/>
    </row>
    <row r="5" spans="1:7" ht="18" customHeight="1" x14ac:dyDescent="0.25">
      <c r="A5" s="5"/>
      <c r="B5" s="150"/>
      <c r="C5" s="150"/>
      <c r="D5" s="5"/>
      <c r="E5" s="5"/>
      <c r="F5" s="5"/>
      <c r="G5" s="5"/>
    </row>
    <row r="6" spans="1:7" ht="18" customHeight="1" x14ac:dyDescent="0.25">
      <c r="A6" s="4"/>
      <c r="B6" s="4"/>
      <c r="C6" s="4"/>
      <c r="D6" s="4"/>
      <c r="E6" s="4"/>
      <c r="F6" s="4"/>
      <c r="G6" s="4"/>
    </row>
    <row r="7" spans="1:7" ht="7.5" customHeight="1" x14ac:dyDescent="0.25">
      <c r="A7" s="4"/>
      <c r="B7" s="4"/>
      <c r="C7" s="4"/>
      <c r="D7" s="4"/>
      <c r="E7" s="4"/>
      <c r="F7" s="4"/>
      <c r="G7" s="4"/>
    </row>
    <row r="8" spans="1:7" ht="33.75" customHeight="1" x14ac:dyDescent="0.25">
      <c r="A8" s="4"/>
      <c r="B8" s="151" t="s">
        <v>521</v>
      </c>
      <c r="C8" s="151"/>
      <c r="D8" s="4"/>
      <c r="E8" s="4"/>
      <c r="F8" s="4"/>
      <c r="G8" s="4"/>
    </row>
    <row r="9" spans="1:7" ht="27.75" customHeight="1" x14ac:dyDescent="0.25">
      <c r="A9" s="4"/>
      <c r="B9" s="151"/>
      <c r="C9" s="151"/>
      <c r="D9" s="4"/>
      <c r="E9" s="4"/>
      <c r="F9" s="4"/>
      <c r="G9" s="4"/>
    </row>
    <row r="10" spans="1:7" ht="21.75" customHeight="1" x14ac:dyDescent="0.25">
      <c r="A10" s="4"/>
      <c r="B10" s="152" t="s">
        <v>2</v>
      </c>
      <c r="C10" s="152"/>
      <c r="D10" s="4"/>
      <c r="E10" s="4"/>
      <c r="F10" s="4"/>
      <c r="G10" s="4"/>
    </row>
    <row r="11" spans="1:7" ht="18" customHeight="1" x14ac:dyDescent="0.25">
      <c r="A11" s="4"/>
      <c r="B11" s="153" t="s">
        <v>3</v>
      </c>
      <c r="C11" s="153"/>
      <c r="D11" s="4"/>
      <c r="E11" s="4"/>
      <c r="F11" s="4"/>
      <c r="G11" s="4"/>
    </row>
    <row r="12" spans="1:7" ht="18" customHeight="1" x14ac:dyDescent="0.25">
      <c r="A12" s="4"/>
      <c r="B12" s="4"/>
      <c r="C12" s="4"/>
      <c r="D12" s="4"/>
      <c r="E12" s="4"/>
      <c r="F12" s="4"/>
      <c r="G12" s="4"/>
    </row>
    <row r="13" spans="1:7" ht="3" customHeight="1" x14ac:dyDescent="0.25">
      <c r="A13" s="4"/>
      <c r="B13" s="5"/>
      <c r="C13" s="5"/>
      <c r="D13" s="5"/>
      <c r="E13" s="4"/>
      <c r="F13" s="4"/>
      <c r="G13" s="4"/>
    </row>
    <row r="14" spans="1:7" ht="18" customHeight="1" x14ac:dyDescent="0.25">
      <c r="A14" s="4"/>
      <c r="B14" s="4"/>
      <c r="C14" s="4"/>
      <c r="D14" s="4"/>
      <c r="E14" s="4"/>
      <c r="F14" s="4"/>
      <c r="G14" s="4"/>
    </row>
    <row r="15" spans="1:7" ht="19.5" customHeight="1" x14ac:dyDescent="0.25">
      <c r="A15" s="4"/>
      <c r="B15" s="6" t="s">
        <v>4</v>
      </c>
      <c r="C15" s="7" t="s">
        <v>5</v>
      </c>
      <c r="D15" s="4"/>
      <c r="E15" s="4"/>
      <c r="F15" s="4"/>
      <c r="G15" s="4"/>
    </row>
    <row r="16" spans="1:7" ht="19.5" customHeight="1" x14ac:dyDescent="0.25">
      <c r="A16" s="4"/>
      <c r="B16" s="6" t="s">
        <v>6</v>
      </c>
      <c r="C16" s="7" t="s">
        <v>7</v>
      </c>
      <c r="D16" s="4"/>
      <c r="E16" s="4"/>
      <c r="F16" s="4"/>
      <c r="G16" s="4"/>
    </row>
    <row r="17" spans="1:7" ht="19.5" customHeight="1" x14ac:dyDescent="0.25">
      <c r="A17" s="4"/>
      <c r="B17" s="6" t="s">
        <v>8</v>
      </c>
      <c r="C17" s="7" t="s">
        <v>9</v>
      </c>
      <c r="D17" s="4"/>
      <c r="E17" s="4"/>
      <c r="F17" s="4"/>
      <c r="G17" s="4"/>
    </row>
    <row r="18" spans="1:7" ht="19.5" customHeight="1" x14ac:dyDescent="0.25">
      <c r="A18" s="4"/>
      <c r="B18" s="6" t="s">
        <v>10</v>
      </c>
      <c r="C18" s="7" t="s">
        <v>11</v>
      </c>
      <c r="D18" s="4"/>
      <c r="E18" s="4"/>
      <c r="F18" s="4"/>
      <c r="G18" s="4"/>
    </row>
    <row r="19" spans="1:7" ht="19.5" customHeight="1" x14ac:dyDescent="0.25">
      <c r="A19" s="4"/>
      <c r="B19" s="6" t="s">
        <v>12</v>
      </c>
      <c r="C19" s="7" t="s">
        <v>13</v>
      </c>
      <c r="D19" s="4"/>
      <c r="E19" s="4"/>
      <c r="F19" s="4"/>
      <c r="G19" s="4"/>
    </row>
    <row r="20" spans="1:7" ht="19.5" customHeight="1" x14ac:dyDescent="0.25">
      <c r="A20" s="4"/>
      <c r="B20" s="6" t="s">
        <v>14</v>
      </c>
      <c r="C20" s="7" t="s">
        <v>15</v>
      </c>
      <c r="D20" s="4"/>
      <c r="E20" s="4"/>
      <c r="F20" s="4"/>
      <c r="G20" s="4"/>
    </row>
    <row r="21" spans="1:7" ht="19.5" customHeight="1" x14ac:dyDescent="0.25">
      <c r="A21" s="4"/>
      <c r="B21" s="6" t="s">
        <v>16</v>
      </c>
      <c r="C21" s="7" t="s">
        <v>17</v>
      </c>
      <c r="D21" s="4"/>
      <c r="E21" s="4"/>
      <c r="F21" s="4"/>
      <c r="G21" s="4"/>
    </row>
    <row r="22" spans="1:7" ht="19.5" customHeight="1" x14ac:dyDescent="0.25">
      <c r="A22" s="4"/>
      <c r="B22" s="6" t="s">
        <v>18</v>
      </c>
      <c r="C22" s="7" t="s">
        <v>19</v>
      </c>
      <c r="D22" s="4"/>
      <c r="E22" s="4"/>
      <c r="F22" s="4"/>
      <c r="G22" s="4"/>
    </row>
    <row r="23" spans="1:7" ht="19.5" customHeight="1" x14ac:dyDescent="0.25">
      <c r="A23" s="4"/>
      <c r="B23" s="6" t="s">
        <v>20</v>
      </c>
      <c r="C23" s="7" t="s">
        <v>21</v>
      </c>
      <c r="D23" s="4"/>
      <c r="E23" s="4"/>
      <c r="F23" s="4"/>
      <c r="G23" s="4"/>
    </row>
    <row r="24" spans="1:7" ht="19.5" customHeight="1" x14ac:dyDescent="0.25">
      <c r="A24" s="4"/>
      <c r="B24" s="6" t="s">
        <v>22</v>
      </c>
      <c r="C24" s="7" t="s">
        <v>23</v>
      </c>
      <c r="D24" s="4"/>
      <c r="E24" s="4"/>
      <c r="F24" s="4"/>
      <c r="G24" s="4"/>
    </row>
    <row r="25" spans="1:7" ht="19.5" customHeight="1" x14ac:dyDescent="0.25">
      <c r="A25" s="4"/>
      <c r="B25" s="6" t="s">
        <v>520</v>
      </c>
      <c r="C25" s="138" t="s">
        <v>518</v>
      </c>
      <c r="D25" s="4"/>
      <c r="E25" s="4"/>
      <c r="F25" s="4"/>
      <c r="G25" s="4"/>
    </row>
    <row r="26" spans="1:7" ht="19.5" customHeight="1" x14ac:dyDescent="0.25">
      <c r="A26" s="4"/>
      <c r="B26" s="6" t="s">
        <v>519</v>
      </c>
      <c r="C26" s="139">
        <v>46204</v>
      </c>
      <c r="D26" s="4"/>
      <c r="E26" s="4"/>
      <c r="F26" s="4"/>
      <c r="G26" s="4"/>
    </row>
    <row r="27" spans="1:7" ht="18" customHeight="1" x14ac:dyDescent="0.25">
      <c r="A27" s="4"/>
      <c r="B27" s="4"/>
      <c r="C27" s="4"/>
      <c r="D27" s="4"/>
      <c r="E27" s="4"/>
      <c r="F27" s="4"/>
      <c r="G27" s="4"/>
    </row>
    <row r="28" spans="1:7" ht="7.5" customHeight="1" x14ac:dyDescent="0.25">
      <c r="A28" s="4"/>
      <c r="B28" s="4"/>
      <c r="C28" s="4"/>
      <c r="D28" s="4"/>
      <c r="E28" s="4"/>
      <c r="F28" s="4"/>
      <c r="G28" s="4"/>
    </row>
    <row r="29" spans="1:7" ht="21.75" customHeight="1" x14ac:dyDescent="0.25">
      <c r="A29" s="4"/>
      <c r="B29" s="145" t="s">
        <v>24</v>
      </c>
      <c r="C29" s="145"/>
      <c r="D29" s="4"/>
      <c r="E29" s="4"/>
      <c r="F29" s="4"/>
      <c r="G29" s="4"/>
    </row>
    <row r="30" spans="1:7" ht="45" customHeight="1" x14ac:dyDescent="0.25">
      <c r="A30" s="4"/>
      <c r="B30" s="8" t="s">
        <v>25</v>
      </c>
      <c r="C30" s="9" t="s">
        <v>26</v>
      </c>
      <c r="D30" s="4"/>
      <c r="E30" s="4"/>
      <c r="F30" s="4"/>
      <c r="G30" s="4"/>
    </row>
    <row r="31" spans="1:7" ht="18.75" customHeight="1" x14ac:dyDescent="0.25">
      <c r="A31" s="4"/>
      <c r="B31" s="8" t="s">
        <v>27</v>
      </c>
      <c r="C31" s="9" t="s">
        <v>28</v>
      </c>
      <c r="D31" s="4"/>
      <c r="E31" s="4"/>
      <c r="F31" s="4"/>
      <c r="G31" s="4"/>
    </row>
    <row r="32" spans="1:7" ht="18.75" customHeight="1" x14ac:dyDescent="0.25">
      <c r="A32" s="4"/>
      <c r="B32" s="8" t="s">
        <v>29</v>
      </c>
      <c r="C32" s="9" t="s">
        <v>30</v>
      </c>
      <c r="D32" s="4"/>
      <c r="E32" s="4"/>
      <c r="F32" s="4"/>
      <c r="G32" s="4"/>
    </row>
    <row r="33" spans="1:7" ht="18.75" customHeight="1" x14ac:dyDescent="0.25">
      <c r="A33" s="4"/>
      <c r="B33" s="8" t="s">
        <v>31</v>
      </c>
      <c r="C33" s="9" t="s">
        <v>32</v>
      </c>
      <c r="D33" s="4"/>
      <c r="E33" s="4"/>
      <c r="F33" s="4"/>
      <c r="G33" s="4"/>
    </row>
    <row r="34" spans="1:7" ht="18.75" customHeight="1" x14ac:dyDescent="0.25">
      <c r="A34" s="4"/>
      <c r="B34" s="8" t="s">
        <v>33</v>
      </c>
      <c r="C34" s="9" t="s">
        <v>34</v>
      </c>
      <c r="D34" s="4"/>
      <c r="E34" s="4"/>
      <c r="F34" s="4"/>
      <c r="G34" s="4"/>
    </row>
    <row r="35" spans="1:7" ht="18.75" customHeight="1" x14ac:dyDescent="0.25">
      <c r="A35" s="4"/>
      <c r="B35" s="8" t="s">
        <v>35</v>
      </c>
      <c r="C35" s="9" t="s">
        <v>36</v>
      </c>
      <c r="D35" s="4"/>
      <c r="E35" s="4"/>
      <c r="F35" s="4"/>
      <c r="G35" s="4"/>
    </row>
    <row r="36" spans="1:7" ht="18.75" customHeight="1" x14ac:dyDescent="0.25">
      <c r="A36" s="4"/>
      <c r="B36" s="8" t="s">
        <v>37</v>
      </c>
      <c r="C36" s="9" t="s">
        <v>38</v>
      </c>
      <c r="D36" s="4"/>
      <c r="E36" s="4"/>
      <c r="F36" s="4"/>
      <c r="G36" s="4"/>
    </row>
    <row r="37" spans="1:7" ht="18.75" customHeight="1" x14ac:dyDescent="0.25">
      <c r="A37" s="4"/>
      <c r="B37" s="8" t="s">
        <v>39</v>
      </c>
      <c r="C37" s="9" t="s">
        <v>40</v>
      </c>
      <c r="D37" s="4"/>
      <c r="E37" s="4"/>
      <c r="F37" s="4"/>
      <c r="G37" s="4"/>
    </row>
    <row r="38" spans="1:7" ht="18.75" customHeight="1" x14ac:dyDescent="0.25">
      <c r="A38" s="4"/>
      <c r="B38" s="8" t="s">
        <v>41</v>
      </c>
      <c r="C38" s="9" t="s">
        <v>42</v>
      </c>
      <c r="D38" s="4"/>
      <c r="E38" s="4"/>
      <c r="F38" s="4"/>
      <c r="G38" s="4"/>
    </row>
    <row r="39" spans="1:7" ht="18.75" customHeight="1" x14ac:dyDescent="0.25">
      <c r="A39" s="4"/>
      <c r="B39" s="8" t="s">
        <v>43</v>
      </c>
      <c r="C39" s="9" t="s">
        <v>44</v>
      </c>
      <c r="D39" s="4"/>
      <c r="E39" s="4"/>
      <c r="F39" s="4"/>
      <c r="G39" s="4"/>
    </row>
    <row r="40" spans="1:7" ht="18.75" customHeight="1" x14ac:dyDescent="0.25">
      <c r="A40" s="4"/>
      <c r="B40" s="8" t="s">
        <v>45</v>
      </c>
      <c r="C40" s="9" t="s">
        <v>46</v>
      </c>
      <c r="D40" s="4"/>
      <c r="E40" s="4"/>
      <c r="F40" s="4"/>
      <c r="G40" s="4"/>
    </row>
    <row r="41" spans="1:7" ht="18.75" customHeight="1" x14ac:dyDescent="0.25">
      <c r="A41" s="4"/>
      <c r="B41" s="8" t="s">
        <v>47</v>
      </c>
      <c r="C41" s="9" t="s">
        <v>48</v>
      </c>
      <c r="D41" s="4"/>
      <c r="E41" s="4"/>
      <c r="F41" s="4"/>
      <c r="G41" s="4"/>
    </row>
    <row r="42" spans="1:7" ht="18.75" customHeight="1" x14ac:dyDescent="0.25">
      <c r="A42" s="4"/>
      <c r="B42" s="8" t="s">
        <v>49</v>
      </c>
      <c r="C42" s="9" t="s">
        <v>50</v>
      </c>
      <c r="D42" s="4"/>
      <c r="E42" s="4"/>
      <c r="F42" s="4"/>
      <c r="G42" s="4"/>
    </row>
    <row r="43" spans="1:7" ht="18.75" customHeight="1" x14ac:dyDescent="0.25">
      <c r="A43" s="4"/>
      <c r="B43" s="8" t="s">
        <v>51</v>
      </c>
      <c r="C43" s="9" t="s">
        <v>52</v>
      </c>
      <c r="D43" s="4"/>
      <c r="E43" s="4"/>
      <c r="F43" s="4"/>
      <c r="G43" s="4"/>
    </row>
    <row r="44" spans="1:7" ht="18" customHeight="1" x14ac:dyDescent="0.25">
      <c r="A44" s="4"/>
      <c r="B44" s="4"/>
      <c r="C44" s="4"/>
      <c r="D44" s="4"/>
      <c r="E44" s="4"/>
      <c r="F44" s="4"/>
      <c r="G44" s="4"/>
    </row>
    <row r="45" spans="1:7" ht="7.5" customHeight="1" x14ac:dyDescent="0.25">
      <c r="A45" s="4"/>
      <c r="B45" s="4"/>
      <c r="C45" s="4"/>
      <c r="D45" s="4"/>
      <c r="E45" s="4"/>
      <c r="F45" s="4"/>
      <c r="G45" s="4"/>
    </row>
    <row r="46" spans="1:7" ht="19.5" customHeight="1" x14ac:dyDescent="0.25">
      <c r="A46" s="4"/>
      <c r="B46" s="146" t="s">
        <v>53</v>
      </c>
      <c r="C46" s="146"/>
      <c r="D46" s="4"/>
      <c r="E46" s="4"/>
      <c r="F46" s="4"/>
      <c r="G46" s="4"/>
    </row>
    <row r="47" spans="1:7" ht="18" customHeight="1" x14ac:dyDescent="0.25">
      <c r="A47" s="4"/>
      <c r="B47" s="10" t="s">
        <v>54</v>
      </c>
      <c r="C47" s="9" t="s">
        <v>55</v>
      </c>
      <c r="D47" s="4"/>
      <c r="E47" s="4"/>
      <c r="F47" s="4"/>
      <c r="G47" s="4"/>
    </row>
    <row r="48" spans="1:7" ht="18" customHeight="1" x14ac:dyDescent="0.25">
      <c r="A48" s="4"/>
      <c r="B48" s="11" t="s">
        <v>54</v>
      </c>
      <c r="C48" s="9" t="s">
        <v>56</v>
      </c>
      <c r="D48" s="4"/>
      <c r="E48" s="4"/>
      <c r="F48" s="4"/>
      <c r="G48" s="4"/>
    </row>
    <row r="49" spans="1:7" ht="18" customHeight="1" x14ac:dyDescent="0.25">
      <c r="A49" s="4"/>
      <c r="B49" s="12" t="s">
        <v>54</v>
      </c>
      <c r="C49" s="9" t="s">
        <v>57</v>
      </c>
      <c r="D49" s="4"/>
      <c r="E49" s="4"/>
      <c r="F49" s="4"/>
      <c r="G49" s="4"/>
    </row>
    <row r="50" spans="1:7" ht="18" customHeight="1" x14ac:dyDescent="0.25">
      <c r="A50" s="4"/>
      <c r="B50" s="4"/>
      <c r="C50" s="4"/>
      <c r="D50" s="4"/>
      <c r="E50" s="4"/>
      <c r="F50" s="4"/>
      <c r="G50" s="4"/>
    </row>
    <row r="51" spans="1:7" ht="18" customHeight="1" x14ac:dyDescent="0.25">
      <c r="A51" s="4"/>
      <c r="B51" s="4"/>
      <c r="C51" s="4"/>
      <c r="D51" s="4"/>
      <c r="E51" s="4"/>
      <c r="F51" s="4"/>
      <c r="G51" s="4"/>
    </row>
    <row r="52" spans="1:7" ht="18" customHeight="1" x14ac:dyDescent="0.25">
      <c r="A52" s="4"/>
      <c r="B52" s="4"/>
      <c r="C52" s="4"/>
      <c r="D52" s="4"/>
      <c r="E52" s="4"/>
      <c r="F52" s="4"/>
      <c r="G52" s="4"/>
    </row>
    <row r="53" spans="1:7" ht="18" customHeight="1" x14ac:dyDescent="0.25">
      <c r="A53" s="4"/>
      <c r="B53" s="4"/>
      <c r="C53" s="4"/>
      <c r="D53" s="4"/>
      <c r="E53" s="4"/>
      <c r="F53" s="4"/>
      <c r="G53" s="4"/>
    </row>
    <row r="54" spans="1:7" ht="18" customHeight="1" x14ac:dyDescent="0.25">
      <c r="A54" s="4"/>
      <c r="B54" s="4"/>
      <c r="C54" s="4"/>
      <c r="D54" s="4"/>
      <c r="E54" s="4"/>
      <c r="F54" s="4"/>
      <c r="G54" s="4"/>
    </row>
    <row r="55" spans="1:7" ht="18" customHeight="1" x14ac:dyDescent="0.25">
      <c r="A55" s="4"/>
      <c r="B55" s="4"/>
      <c r="C55" s="4"/>
      <c r="D55" s="4"/>
      <c r="E55" s="4"/>
      <c r="F55" s="4"/>
      <c r="G55" s="4"/>
    </row>
    <row r="56" spans="1:7" ht="18" customHeight="1" x14ac:dyDescent="0.25">
      <c r="A56" s="4"/>
      <c r="B56" s="4"/>
      <c r="C56" s="4"/>
      <c r="D56" s="4"/>
      <c r="E56" s="4"/>
      <c r="F56" s="4"/>
      <c r="G56" s="4"/>
    </row>
    <row r="57" spans="1:7" ht="18" customHeight="1" x14ac:dyDescent="0.25">
      <c r="A57" s="4"/>
      <c r="B57" s="4"/>
      <c r="C57" s="4"/>
      <c r="D57" s="4"/>
      <c r="E57" s="4"/>
      <c r="F57" s="4"/>
      <c r="G57" s="4"/>
    </row>
    <row r="58" spans="1:7" ht="19.5" customHeight="1" x14ac:dyDescent="0.25">
      <c r="A58" s="4"/>
      <c r="B58" s="147" t="s">
        <v>58</v>
      </c>
      <c r="C58" s="147"/>
      <c r="D58" s="4"/>
      <c r="E58" s="4"/>
      <c r="F58" s="4"/>
      <c r="G58" s="4"/>
    </row>
    <row r="59" spans="1:7" ht="18" customHeight="1" x14ac:dyDescent="0.25">
      <c r="A59" s="4"/>
      <c r="B59" s="4"/>
      <c r="C59" s="4"/>
      <c r="D59" s="4"/>
      <c r="E59" s="4"/>
      <c r="F59" s="4"/>
      <c r="G59" s="4"/>
    </row>
    <row r="60" spans="1:7" ht="15.75" customHeight="1" x14ac:dyDescent="0.25">
      <c r="B60" s="148" t="s">
        <v>59</v>
      </c>
      <c r="C60" s="148"/>
    </row>
  </sheetData>
  <mergeCells count="9">
    <mergeCell ref="B29:C29"/>
    <mergeCell ref="B46:C46"/>
    <mergeCell ref="B58:C58"/>
    <mergeCell ref="B60:C60"/>
    <mergeCell ref="B2:C3"/>
    <mergeCell ref="B4:C5"/>
    <mergeCell ref="B8:C9"/>
    <mergeCell ref="B10:C10"/>
    <mergeCell ref="B11:C11"/>
  </mergeCell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B4F72"/>
  </sheetPr>
  <dimension ref="A1:V24"/>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140" t="s">
        <v>302</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303</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9.5" customHeight="1" x14ac:dyDescent="0.25">
      <c r="A4" s="142" t="s">
        <v>304</v>
      </c>
      <c r="B4" s="142"/>
      <c r="C4" s="142"/>
      <c r="D4" s="142"/>
      <c r="E4" s="142"/>
      <c r="F4" s="142"/>
      <c r="G4" s="142"/>
      <c r="H4" s="142"/>
      <c r="I4" s="142"/>
      <c r="J4" s="142"/>
      <c r="K4" s="142"/>
      <c r="L4" s="142"/>
      <c r="M4" s="142"/>
      <c r="N4" s="142"/>
      <c r="O4" s="142"/>
      <c r="P4" s="142"/>
      <c r="Q4" s="142"/>
      <c r="R4" s="142"/>
      <c r="S4" s="142"/>
      <c r="T4" s="142"/>
      <c r="U4" s="142"/>
      <c r="V4" s="142"/>
    </row>
    <row r="5" spans="1:22" ht="15" customHeight="1" x14ac:dyDescent="0.25">
      <c r="A5" s="14" t="s">
        <v>305</v>
      </c>
      <c r="B5" s="33"/>
      <c r="C5" s="72">
        <f>'📈 P&amp;L'!C26</f>
        <v>-49.4642909875</v>
      </c>
      <c r="D5" s="72">
        <f>'📈 P&amp;L'!D26</f>
        <v>-22.835480987499999</v>
      </c>
      <c r="E5" s="72">
        <f>'📈 P&amp;L'!E26</f>
        <v>-19.287072651363637</v>
      </c>
      <c r="F5" s="72">
        <f>'📈 P&amp;L'!F26</f>
        <v>-15.758895295227278</v>
      </c>
      <c r="G5" s="72">
        <f>'📈 P&amp;L'!G26</f>
        <v>-12.253392424490913</v>
      </c>
      <c r="H5" s="72">
        <f>'📈 P&amp;L'!H26</f>
        <v>-8.773101080696561</v>
      </c>
      <c r="I5" s="72">
        <f>'📈 P&amp;L'!I26</f>
        <v>-5.3206570911178588</v>
      </c>
      <c r="J5" s="72">
        <f>'📈 P&amp;L'!J26</f>
        <v>-3.4213888886918102</v>
      </c>
      <c r="K5" s="72">
        <f>'📈 P&amp;L'!K26</f>
        <v>-5.417954335300001</v>
      </c>
      <c r="L5" s="72">
        <f>'📈 P&amp;L'!L26</f>
        <v>-7.4509236709051319</v>
      </c>
      <c r="M5" s="72">
        <f>'📈 P&amp;L'!M26</f>
        <v>-13.836580005050346</v>
      </c>
      <c r="N5" s="72">
        <f>'📈 P&amp;L'!N26</f>
        <v>-16.090488340802864</v>
      </c>
      <c r="O5" s="72">
        <f>'📈 P&amp;L'!O26</f>
        <v>-32.671451133343005</v>
      </c>
      <c r="P5" s="72">
        <f>'📈 P&amp;L'!P26</f>
        <v>-34.729815490210164</v>
      </c>
      <c r="Q5" s="72">
        <f>'📈 P&amp;L'!Q26</f>
        <v>-36.844437765626658</v>
      </c>
      <c r="R5" s="72">
        <f>'📈 P&amp;L'!R26</f>
        <v>-39.01906406150588</v>
      </c>
      <c r="S5" s="72">
        <f>'📈 P&amp;L'!S26</f>
        <v>-41.257609120737094</v>
      </c>
      <c r="T5" s="72">
        <f>'📈 P&amp;L'!T26</f>
        <v>-43.564165132516756</v>
      </c>
      <c r="U5" s="72">
        <f>'📈 P&amp;L'!U26</f>
        <v>-45.94301097048055</v>
      </c>
      <c r="V5" s="72">
        <f>'📈 P&amp;L'!V26</f>
        <v>-48.398621885425754</v>
      </c>
    </row>
    <row r="6" spans="1:22" ht="15" customHeight="1" x14ac:dyDescent="0.25">
      <c r="A6" s="42" t="s">
        <v>306</v>
      </c>
      <c r="B6" s="40"/>
      <c r="C6" s="73">
        <f>'📈 P&amp;L'!C18-'📈 P&amp;L'!C20</f>
        <v>24.159355024999996</v>
      </c>
      <c r="D6" s="73">
        <f>'📈 P&amp;L'!D18-'📈 P&amp;L'!D20</f>
        <v>24.159355024999996</v>
      </c>
      <c r="E6" s="73">
        <f>'📈 P&amp;L'!E18-'📈 P&amp;L'!E20</f>
        <v>24.159355024999996</v>
      </c>
      <c r="F6" s="73">
        <f>'📈 P&amp;L'!F18-'📈 P&amp;L'!F20</f>
        <v>24.159355024999996</v>
      </c>
      <c r="G6" s="73">
        <f>'📈 P&amp;L'!G18-'📈 P&amp;L'!G20</f>
        <v>24.159355024999996</v>
      </c>
      <c r="H6" s="73">
        <f>'📈 P&amp;L'!H18-'📈 P&amp;L'!H20</f>
        <v>24.159355024999996</v>
      </c>
      <c r="I6" s="73">
        <f>'📈 P&amp;L'!I18-'📈 P&amp;L'!I20</f>
        <v>24.159355024999996</v>
      </c>
      <c r="J6" s="73">
        <f>'📈 P&amp;L'!J18-'📈 P&amp;L'!J20</f>
        <v>24.159355024999996</v>
      </c>
      <c r="K6" s="73">
        <f>'📈 P&amp;L'!K18-'📈 P&amp;L'!K20</f>
        <v>24.159355024999996</v>
      </c>
      <c r="L6" s="73">
        <f>'📈 P&amp;L'!L18-'📈 P&amp;L'!L20</f>
        <v>24.159355024999996</v>
      </c>
      <c r="M6" s="73">
        <f>'📈 P&amp;L'!M18-'📈 P&amp;L'!M20</f>
        <v>35.409355024999996</v>
      </c>
      <c r="N6" s="73">
        <f>'📈 P&amp;L'!N18-'📈 P&amp;L'!N20</f>
        <v>35.409355024999996</v>
      </c>
      <c r="O6" s="73">
        <f>'📈 P&amp;L'!O18-'📈 P&amp;L'!O20</f>
        <v>35.409355024999996</v>
      </c>
      <c r="P6" s="73">
        <f>'📈 P&amp;L'!P18-'📈 P&amp;L'!P20</f>
        <v>35.409355024999996</v>
      </c>
      <c r="Q6" s="73">
        <f>'📈 P&amp;L'!Q18-'📈 P&amp;L'!Q20</f>
        <v>35.409355024999996</v>
      </c>
      <c r="R6" s="73">
        <f>'📈 P&amp;L'!R18-'📈 P&amp;L'!R20</f>
        <v>35.409355024999996</v>
      </c>
      <c r="S6" s="73">
        <f>'📈 P&amp;L'!S18-'📈 P&amp;L'!S20</f>
        <v>35.409355024999996</v>
      </c>
      <c r="T6" s="73">
        <f>'📈 P&amp;L'!T18-'📈 P&amp;L'!T20</f>
        <v>35.409355024999996</v>
      </c>
      <c r="U6" s="73">
        <f>'📈 P&amp;L'!U18-'📈 P&amp;L'!U20</f>
        <v>35.409355024999996</v>
      </c>
      <c r="V6" s="73">
        <f>'📈 P&amp;L'!V18-'📈 P&amp;L'!V20</f>
        <v>35.409355024999996</v>
      </c>
    </row>
    <row r="7" spans="1:22" ht="15" customHeight="1" x14ac:dyDescent="0.25">
      <c r="A7" s="82" t="s">
        <v>307</v>
      </c>
      <c r="B7" s="66"/>
      <c r="C7" s="83">
        <f t="shared" ref="C7:V7" si="0">C5+C6</f>
        <v>-25.304935962500004</v>
      </c>
      <c r="D7" s="83">
        <f t="shared" si="0"/>
        <v>1.3238740374999978</v>
      </c>
      <c r="E7" s="83">
        <f t="shared" si="0"/>
        <v>4.8722823736363594</v>
      </c>
      <c r="F7" s="83">
        <f t="shared" si="0"/>
        <v>8.4004597297727184</v>
      </c>
      <c r="G7" s="83">
        <f t="shared" si="0"/>
        <v>11.905962600509083</v>
      </c>
      <c r="H7" s="83">
        <f t="shared" si="0"/>
        <v>15.386253944303435</v>
      </c>
      <c r="I7" s="83">
        <f t="shared" si="0"/>
        <v>18.838697933882138</v>
      </c>
      <c r="J7" s="83">
        <f t="shared" si="0"/>
        <v>20.737966136308188</v>
      </c>
      <c r="K7" s="83">
        <f t="shared" si="0"/>
        <v>18.741400689699994</v>
      </c>
      <c r="L7" s="83">
        <f t="shared" si="0"/>
        <v>16.708431354094863</v>
      </c>
      <c r="M7" s="83">
        <f t="shared" si="0"/>
        <v>21.572775019949653</v>
      </c>
      <c r="N7" s="83">
        <f t="shared" si="0"/>
        <v>19.318866684197133</v>
      </c>
      <c r="O7" s="83">
        <f t="shared" si="0"/>
        <v>2.7379038916569911</v>
      </c>
      <c r="P7" s="83">
        <f t="shared" si="0"/>
        <v>0.67953953478983209</v>
      </c>
      <c r="Q7" s="83">
        <f t="shared" si="0"/>
        <v>-1.4350827406266617</v>
      </c>
      <c r="R7" s="83">
        <f t="shared" si="0"/>
        <v>-3.6097090365058833</v>
      </c>
      <c r="S7" s="83">
        <f t="shared" si="0"/>
        <v>-5.8482540957370972</v>
      </c>
      <c r="T7" s="83">
        <f t="shared" si="0"/>
        <v>-8.1548101075167594</v>
      </c>
      <c r="U7" s="83">
        <f t="shared" si="0"/>
        <v>-10.533655945480554</v>
      </c>
      <c r="V7" s="83">
        <f t="shared" si="0"/>
        <v>-12.989266860425758</v>
      </c>
    </row>
    <row r="9" spans="1:22" ht="19.5" customHeight="1" x14ac:dyDescent="0.25">
      <c r="A9" s="143" t="s">
        <v>308</v>
      </c>
      <c r="B9" s="143"/>
      <c r="C9" s="143"/>
      <c r="D9" s="143"/>
      <c r="E9" s="143"/>
      <c r="F9" s="143"/>
      <c r="G9" s="143"/>
      <c r="H9" s="143"/>
      <c r="I9" s="143"/>
      <c r="J9" s="143"/>
      <c r="K9" s="143"/>
      <c r="L9" s="143"/>
      <c r="M9" s="143"/>
      <c r="N9" s="143"/>
      <c r="O9" s="143"/>
      <c r="P9" s="143"/>
      <c r="Q9" s="143"/>
      <c r="R9" s="143"/>
      <c r="S9" s="143"/>
      <c r="T9" s="143"/>
      <c r="U9" s="143"/>
      <c r="V9" s="143"/>
    </row>
    <row r="10" spans="1:22" ht="15" customHeight="1" x14ac:dyDescent="0.25">
      <c r="A10" s="68" t="s">
        <v>309</v>
      </c>
      <c r="B10" s="69">
        <f>-'💰 CAPEX &amp; MOF'!$B$17</f>
        <v>-787.17379000000005</v>
      </c>
      <c r="C10" s="69">
        <f>IF(1='📋 ASSUMPTIONS'!$B$12+1,-'📋 ASSUMPTIONS'!$B$19*'📋 ASSUMPTIONS'!$B$13,0)+IF(1='💰 CAPEX &amp; MOF'!$B$31,'💰 CAPEX &amp; MOF'!$B$30,0)</f>
        <v>264.62799999999999</v>
      </c>
      <c r="D10" s="69">
        <f>IF(2='📋 ASSUMPTIONS'!$B$12+1,-'📋 ASSUMPTIONS'!$B$19*'📋 ASSUMPTIONS'!$B$13,0)+IF(2='💰 CAPEX &amp; MOF'!$B$31,'💰 CAPEX &amp; MOF'!$B$30,0)</f>
        <v>0</v>
      </c>
      <c r="E10" s="69">
        <f>IF(3='📋 ASSUMPTIONS'!$B$12+1,-'📋 ASSUMPTIONS'!$B$19*'📋 ASSUMPTIONS'!$B$13,0)+IF(3='💰 CAPEX &amp; MOF'!$B$31,'💰 CAPEX &amp; MOF'!$B$30,0)</f>
        <v>0</v>
      </c>
      <c r="F10" s="69">
        <f>IF(4='📋 ASSUMPTIONS'!$B$12+1,-'📋 ASSUMPTIONS'!$B$19*'📋 ASSUMPTIONS'!$B$13,0)+IF(4='💰 CAPEX &amp; MOF'!$B$31,'💰 CAPEX &amp; MOF'!$B$30,0)</f>
        <v>0</v>
      </c>
      <c r="G10" s="69">
        <f>IF(5='📋 ASSUMPTIONS'!$B$12+1,-'📋 ASSUMPTIONS'!$B$19*'📋 ASSUMPTIONS'!$B$13,0)+IF(5='💰 CAPEX &amp; MOF'!$B$31,'💰 CAPEX &amp; MOF'!$B$30,0)</f>
        <v>0</v>
      </c>
      <c r="H10" s="69">
        <f>IF(6='📋 ASSUMPTIONS'!$B$12+1,-'📋 ASSUMPTIONS'!$B$19*'📋 ASSUMPTIONS'!$B$13,0)+IF(6='💰 CAPEX &amp; MOF'!$B$31,'💰 CAPEX &amp; MOF'!$B$30,0)</f>
        <v>0</v>
      </c>
      <c r="I10" s="69">
        <f>IF(7='📋 ASSUMPTIONS'!$B$12+1,-'📋 ASSUMPTIONS'!$B$19*'📋 ASSUMPTIONS'!$B$13,0)+IF(7='💰 CAPEX &amp; MOF'!$B$31,'💰 CAPEX &amp; MOF'!$B$30,0)</f>
        <v>0</v>
      </c>
      <c r="J10" s="69">
        <f>IF(8='📋 ASSUMPTIONS'!$B$12+1,-'📋 ASSUMPTIONS'!$B$19*'📋 ASSUMPTIONS'!$B$13,0)+IF(8='💰 CAPEX &amp; MOF'!$B$31,'💰 CAPEX &amp; MOF'!$B$30,0)</f>
        <v>0</v>
      </c>
      <c r="K10" s="69">
        <f>IF(9='📋 ASSUMPTIONS'!$B$12+1,-'📋 ASSUMPTIONS'!$B$19*'📋 ASSUMPTIONS'!$B$13,0)+IF(9='💰 CAPEX &amp; MOF'!$B$31,'💰 CAPEX &amp; MOF'!$B$30,0)</f>
        <v>0</v>
      </c>
      <c r="L10" s="69">
        <f>IF(10='📋 ASSUMPTIONS'!$B$12+1,-'📋 ASSUMPTIONS'!$B$19*'📋 ASSUMPTIONS'!$B$13,0)+IF(10='💰 CAPEX &amp; MOF'!$B$31,'💰 CAPEX &amp; MOF'!$B$30,0)</f>
        <v>0</v>
      </c>
      <c r="M10" s="69">
        <f>IF(11='📋 ASSUMPTIONS'!$B$12+1,-'📋 ASSUMPTIONS'!$B$19*'📋 ASSUMPTIONS'!$B$13,0)+IF(11='💰 CAPEX &amp; MOF'!$B$31,'💰 CAPEX &amp; MOF'!$B$30,0)</f>
        <v>-112.5</v>
      </c>
      <c r="N10" s="69">
        <f>IF(12='📋 ASSUMPTIONS'!$B$12+1,-'📋 ASSUMPTIONS'!$B$19*'📋 ASSUMPTIONS'!$B$13,0)+IF(12='💰 CAPEX &amp; MOF'!$B$31,'💰 CAPEX &amp; MOF'!$B$30,0)</f>
        <v>0</v>
      </c>
      <c r="O10" s="69">
        <f>IF(13='📋 ASSUMPTIONS'!$B$12+1,-'📋 ASSUMPTIONS'!$B$19*'📋 ASSUMPTIONS'!$B$13,0)+IF(13='💰 CAPEX &amp; MOF'!$B$31,'💰 CAPEX &amp; MOF'!$B$30,0)</f>
        <v>0</v>
      </c>
      <c r="P10" s="69">
        <f>IF(14='📋 ASSUMPTIONS'!$B$12+1,-'📋 ASSUMPTIONS'!$B$19*'📋 ASSUMPTIONS'!$B$13,0)+IF(14='💰 CAPEX &amp; MOF'!$B$31,'💰 CAPEX &amp; MOF'!$B$30,0)</f>
        <v>0</v>
      </c>
      <c r="Q10" s="69">
        <f>IF(15='📋 ASSUMPTIONS'!$B$12+1,-'📋 ASSUMPTIONS'!$B$19*'📋 ASSUMPTIONS'!$B$13,0)+IF(15='💰 CAPEX &amp; MOF'!$B$31,'💰 CAPEX &amp; MOF'!$B$30,0)</f>
        <v>0</v>
      </c>
      <c r="R10" s="69">
        <f>IF(16='📋 ASSUMPTIONS'!$B$12+1,-'📋 ASSUMPTIONS'!$B$19*'📋 ASSUMPTIONS'!$B$13,0)+IF(16='💰 CAPEX &amp; MOF'!$B$31,'💰 CAPEX &amp; MOF'!$B$30,0)</f>
        <v>0</v>
      </c>
      <c r="S10" s="69">
        <f>IF(17='📋 ASSUMPTIONS'!$B$12+1,-'📋 ASSUMPTIONS'!$B$19*'📋 ASSUMPTIONS'!$B$13,0)+IF(17='💰 CAPEX &amp; MOF'!$B$31,'💰 CAPEX &amp; MOF'!$B$30,0)</f>
        <v>0</v>
      </c>
      <c r="T10" s="69">
        <f>IF(18='📋 ASSUMPTIONS'!$B$12+1,-'📋 ASSUMPTIONS'!$B$19*'📋 ASSUMPTIONS'!$B$13,0)+IF(18='💰 CAPEX &amp; MOF'!$B$31,'💰 CAPEX &amp; MOF'!$B$30,0)</f>
        <v>0</v>
      </c>
      <c r="U10" s="69">
        <f>IF(19='📋 ASSUMPTIONS'!$B$12+1,-'📋 ASSUMPTIONS'!$B$19*'📋 ASSUMPTIONS'!$B$13,0)+IF(19='💰 CAPEX &amp; MOF'!$B$31,'💰 CAPEX &amp; MOF'!$B$30,0)</f>
        <v>0</v>
      </c>
      <c r="V10" s="69">
        <f>IF(20='📋 ASSUMPTIONS'!$B$12+1,-'📋 ASSUMPTIONS'!$B$19*'📋 ASSUMPTIONS'!$B$13,0)+IF(20='💰 CAPEX &amp; MOF'!$B$31,'💰 CAPEX &amp; MOF'!$B$30,0)</f>
        <v>0</v>
      </c>
    </row>
    <row r="11" spans="1:22" ht="15" customHeight="1" x14ac:dyDescent="0.25">
      <c r="A11" s="23" t="s">
        <v>310</v>
      </c>
      <c r="B11" s="87">
        <f t="shared" ref="B11:V11" si="1">B10</f>
        <v>-787.17379000000005</v>
      </c>
      <c r="C11" s="87">
        <f t="shared" si="1"/>
        <v>264.62799999999999</v>
      </c>
      <c r="D11" s="87">
        <f t="shared" si="1"/>
        <v>0</v>
      </c>
      <c r="E11" s="87">
        <f t="shared" si="1"/>
        <v>0</v>
      </c>
      <c r="F11" s="87">
        <f t="shared" si="1"/>
        <v>0</v>
      </c>
      <c r="G11" s="87">
        <f t="shared" si="1"/>
        <v>0</v>
      </c>
      <c r="H11" s="87">
        <f t="shared" si="1"/>
        <v>0</v>
      </c>
      <c r="I11" s="87">
        <f t="shared" si="1"/>
        <v>0</v>
      </c>
      <c r="J11" s="87">
        <f t="shared" si="1"/>
        <v>0</v>
      </c>
      <c r="K11" s="87">
        <f t="shared" si="1"/>
        <v>0</v>
      </c>
      <c r="L11" s="87">
        <f t="shared" si="1"/>
        <v>0</v>
      </c>
      <c r="M11" s="87">
        <f t="shared" si="1"/>
        <v>-112.5</v>
      </c>
      <c r="N11" s="87">
        <f t="shared" si="1"/>
        <v>0</v>
      </c>
      <c r="O11" s="87">
        <f t="shared" si="1"/>
        <v>0</v>
      </c>
      <c r="P11" s="87">
        <f t="shared" si="1"/>
        <v>0</v>
      </c>
      <c r="Q11" s="87">
        <f t="shared" si="1"/>
        <v>0</v>
      </c>
      <c r="R11" s="87">
        <f t="shared" si="1"/>
        <v>0</v>
      </c>
      <c r="S11" s="87">
        <f t="shared" si="1"/>
        <v>0</v>
      </c>
      <c r="T11" s="87">
        <f t="shared" si="1"/>
        <v>0</v>
      </c>
      <c r="U11" s="87">
        <f t="shared" si="1"/>
        <v>0</v>
      </c>
      <c r="V11" s="87">
        <f t="shared" si="1"/>
        <v>0</v>
      </c>
    </row>
    <row r="13" spans="1:22" ht="19.5" customHeight="1" x14ac:dyDescent="0.25">
      <c r="A13" s="156" t="s">
        <v>311</v>
      </c>
      <c r="B13" s="156"/>
      <c r="C13" s="156"/>
      <c r="D13" s="156"/>
      <c r="E13" s="156"/>
      <c r="F13" s="156"/>
      <c r="G13" s="156"/>
      <c r="H13" s="156"/>
      <c r="I13" s="156"/>
      <c r="J13" s="156"/>
      <c r="K13" s="156"/>
      <c r="L13" s="156"/>
      <c r="M13" s="156"/>
      <c r="N13" s="156"/>
      <c r="O13" s="156"/>
      <c r="P13" s="156"/>
      <c r="Q13" s="156"/>
      <c r="R13" s="156"/>
      <c r="S13" s="156"/>
      <c r="T13" s="156"/>
      <c r="U13" s="156"/>
      <c r="V13" s="156"/>
    </row>
    <row r="14" spans="1:22" ht="15" customHeight="1" x14ac:dyDescent="0.25">
      <c r="A14" s="42" t="s">
        <v>248</v>
      </c>
      <c r="B14" s="73">
        <f>'🏦 DEBT SCHEDULE'!$B$5</f>
        <v>551.02165300000001</v>
      </c>
      <c r="C14" s="72">
        <v>0</v>
      </c>
      <c r="D14" s="72">
        <v>0</v>
      </c>
      <c r="E14" s="72">
        <v>0</v>
      </c>
      <c r="F14" s="72">
        <v>0</v>
      </c>
      <c r="G14" s="72">
        <v>0</v>
      </c>
      <c r="H14" s="72">
        <v>0</v>
      </c>
      <c r="I14" s="72">
        <v>0</v>
      </c>
      <c r="J14" s="72">
        <v>0</v>
      </c>
      <c r="K14" s="72">
        <v>0</v>
      </c>
      <c r="L14" s="72">
        <v>0</v>
      </c>
      <c r="M14" s="72">
        <v>0</v>
      </c>
      <c r="N14" s="72">
        <v>0</v>
      </c>
      <c r="O14" s="72">
        <v>0</v>
      </c>
      <c r="P14" s="72">
        <v>0</v>
      </c>
      <c r="Q14" s="72">
        <v>0</v>
      </c>
      <c r="R14" s="72">
        <v>0</v>
      </c>
      <c r="S14" s="72">
        <v>0</v>
      </c>
      <c r="T14" s="72">
        <v>0</v>
      </c>
      <c r="U14" s="72">
        <v>0</v>
      </c>
      <c r="V14" s="72">
        <v>0</v>
      </c>
    </row>
    <row r="15" spans="1:22" ht="15" customHeight="1" x14ac:dyDescent="0.25">
      <c r="A15" s="45" t="s">
        <v>312</v>
      </c>
      <c r="B15" s="80">
        <f>'💰 CAPEX &amp; MOF'!$B$24</f>
        <v>236.15213700000004</v>
      </c>
      <c r="C15" s="72">
        <v>0</v>
      </c>
      <c r="D15" s="72">
        <v>0</v>
      </c>
      <c r="E15" s="72">
        <v>0</v>
      </c>
      <c r="F15" s="72">
        <v>0</v>
      </c>
      <c r="G15" s="72">
        <v>0</v>
      </c>
      <c r="H15" s="72">
        <v>0</v>
      </c>
      <c r="I15" s="72">
        <v>0</v>
      </c>
      <c r="J15" s="72">
        <v>0</v>
      </c>
      <c r="K15" s="72">
        <v>0</v>
      </c>
      <c r="L15" s="72">
        <v>0</v>
      </c>
      <c r="M15" s="72">
        <v>0</v>
      </c>
      <c r="N15" s="72">
        <v>0</v>
      </c>
      <c r="O15" s="72">
        <v>0</v>
      </c>
      <c r="P15" s="72">
        <v>0</v>
      </c>
      <c r="Q15" s="72">
        <v>0</v>
      </c>
      <c r="R15" s="72">
        <v>0</v>
      </c>
      <c r="S15" s="72">
        <v>0</v>
      </c>
      <c r="T15" s="72">
        <v>0</v>
      </c>
      <c r="U15" s="72">
        <v>0</v>
      </c>
      <c r="V15" s="72">
        <v>0</v>
      </c>
    </row>
    <row r="16" spans="1:22" ht="15" customHeight="1" x14ac:dyDescent="0.25">
      <c r="A16" s="68" t="s">
        <v>251</v>
      </c>
      <c r="B16" s="72">
        <v>0</v>
      </c>
      <c r="C16" s="69">
        <f>-'🏦 DEBT SCHEDULE'!C8-'🏦 DEBT SCHEDULE'!C11</f>
        <v>-264.62799999999999</v>
      </c>
      <c r="D16" s="69">
        <f>-'🏦 DEBT SCHEDULE'!D8-'🏦 DEBT SCHEDULE'!D11</f>
        <v>-50.092877545454549</v>
      </c>
      <c r="E16" s="69">
        <f>-'🏦 DEBT SCHEDULE'!E8-'🏦 DEBT SCHEDULE'!E11</f>
        <v>-50.092877545454549</v>
      </c>
      <c r="F16" s="69">
        <f>-'🏦 DEBT SCHEDULE'!F8-'🏦 DEBT SCHEDULE'!F11</f>
        <v>-50.092877545454549</v>
      </c>
      <c r="G16" s="69">
        <f>-'🏦 DEBT SCHEDULE'!G8-'🏦 DEBT SCHEDULE'!G11</f>
        <v>-50.092877545454549</v>
      </c>
      <c r="H16" s="69">
        <f>-'🏦 DEBT SCHEDULE'!H8-'🏦 DEBT SCHEDULE'!H11</f>
        <v>-50.092877545454549</v>
      </c>
      <c r="I16" s="69">
        <f>-'🏦 DEBT SCHEDULE'!I8-'🏦 DEBT SCHEDULE'!I11</f>
        <v>-35.929265272727314</v>
      </c>
      <c r="J16" s="69">
        <f>-'🏦 DEBT SCHEDULE'!J8-'🏦 DEBT SCHEDULE'!J11</f>
        <v>0</v>
      </c>
      <c r="K16" s="69">
        <f>-'🏦 DEBT SCHEDULE'!K8-'🏦 DEBT SCHEDULE'!K11</f>
        <v>0</v>
      </c>
      <c r="L16" s="69">
        <f>-'🏦 DEBT SCHEDULE'!L8-'🏦 DEBT SCHEDULE'!L11</f>
        <v>0</v>
      </c>
      <c r="M16" s="69">
        <f>-'🏦 DEBT SCHEDULE'!M8-'🏦 DEBT SCHEDULE'!M11</f>
        <v>0</v>
      </c>
      <c r="N16" s="69">
        <f>-'🏦 DEBT SCHEDULE'!N8-'🏦 DEBT SCHEDULE'!N11</f>
        <v>0</v>
      </c>
      <c r="O16" s="69">
        <f>-'🏦 DEBT SCHEDULE'!O8-'🏦 DEBT SCHEDULE'!O11</f>
        <v>0</v>
      </c>
      <c r="P16" s="69">
        <f>-'🏦 DEBT SCHEDULE'!P8-'🏦 DEBT SCHEDULE'!P11</f>
        <v>0</v>
      </c>
      <c r="Q16" s="69">
        <f>-'🏦 DEBT SCHEDULE'!Q8-'🏦 DEBT SCHEDULE'!Q11</f>
        <v>0</v>
      </c>
      <c r="R16" s="69">
        <f>-'🏦 DEBT SCHEDULE'!R8-'🏦 DEBT SCHEDULE'!R11</f>
        <v>0</v>
      </c>
      <c r="S16" s="69">
        <f>-'🏦 DEBT SCHEDULE'!S8-'🏦 DEBT SCHEDULE'!S11</f>
        <v>0</v>
      </c>
      <c r="T16" s="69">
        <f>-'🏦 DEBT SCHEDULE'!T8-'🏦 DEBT SCHEDULE'!T11</f>
        <v>0</v>
      </c>
      <c r="U16" s="69">
        <f>-'🏦 DEBT SCHEDULE'!U8-'🏦 DEBT SCHEDULE'!U11</f>
        <v>0</v>
      </c>
      <c r="V16" s="69">
        <f>-'🏦 DEBT SCHEDULE'!V8-'🏦 DEBT SCHEDULE'!V11</f>
        <v>0</v>
      </c>
    </row>
    <row r="17" spans="1:22" ht="15" customHeight="1" x14ac:dyDescent="0.25">
      <c r="A17" s="68" t="s">
        <v>313</v>
      </c>
      <c r="B17" s="72">
        <v>0</v>
      </c>
      <c r="C17" s="69">
        <f>-('🏛 BALANCE SHEET'!C12-0)</f>
        <v>-40.440097621477278</v>
      </c>
      <c r="D17" s="69">
        <f>-('🏛 BALANCE SHEET'!D12-'🏛 BALANCE SHEET'!C12)</f>
        <v>2.6924921680681848</v>
      </c>
      <c r="E17" s="69">
        <f>-('🏛 BALANCE SHEET'!E12-'🏛 BALANCE SHEET'!D12)</f>
        <v>2.6924921680681848</v>
      </c>
      <c r="F17" s="69">
        <f>-('🏛 BALANCE SHEET'!F12-'🏛 BALANCE SHEET'!E12)</f>
        <v>2.6924921680681777</v>
      </c>
      <c r="G17" s="69">
        <f>-('🏛 BALANCE SHEET'!G12-'🏛 BALANCE SHEET'!F12)</f>
        <v>2.6924921680681813</v>
      </c>
      <c r="H17" s="69">
        <f>-('🏛 BALANCE SHEET'!H12-'🏛 BALANCE SHEET'!G12)</f>
        <v>9.7742983044317988</v>
      </c>
      <c r="I17" s="69">
        <f>-('🏛 BALANCE SHEET'!I12-'🏛 BALANCE SHEET'!H12)</f>
        <v>19.895830644772751</v>
      </c>
      <c r="J17" s="69">
        <f>-('🏛 BALANCE SHEET'!J12-'🏛 BALANCE SHEET'!I12)</f>
        <v>0</v>
      </c>
      <c r="K17" s="69">
        <f>-('🏛 BALANCE SHEET'!K12-'🏛 BALANCE SHEET'!J12)</f>
        <v>0</v>
      </c>
      <c r="L17" s="69">
        <f>-('🏛 BALANCE SHEET'!L12-'🏛 BALANCE SHEET'!K12)</f>
        <v>0</v>
      </c>
      <c r="M17" s="69">
        <f>-('🏛 BALANCE SHEET'!M12-'🏛 BALANCE SHEET'!L12)</f>
        <v>0</v>
      </c>
      <c r="N17" s="69">
        <f>-('🏛 BALANCE SHEET'!N12-'🏛 BALANCE SHEET'!M12)</f>
        <v>0</v>
      </c>
      <c r="O17" s="69">
        <f>-('🏛 BALANCE SHEET'!O12-'🏛 BALANCE SHEET'!N12)</f>
        <v>0</v>
      </c>
      <c r="P17" s="69">
        <f>-('🏛 BALANCE SHEET'!P12-'🏛 BALANCE SHEET'!O12)</f>
        <v>0</v>
      </c>
      <c r="Q17" s="69">
        <f>-('🏛 BALANCE SHEET'!Q12-'🏛 BALANCE SHEET'!P12)</f>
        <v>0</v>
      </c>
      <c r="R17" s="69">
        <f>-('🏛 BALANCE SHEET'!R12-'🏛 BALANCE SHEET'!Q12)</f>
        <v>0</v>
      </c>
      <c r="S17" s="69">
        <f>-('🏛 BALANCE SHEET'!S12-'🏛 BALANCE SHEET'!R12)</f>
        <v>0</v>
      </c>
      <c r="T17" s="69">
        <f>-('🏛 BALANCE SHEET'!T12-'🏛 BALANCE SHEET'!S12)</f>
        <v>0</v>
      </c>
      <c r="U17" s="69">
        <f>-('🏛 BALANCE SHEET'!U12-'🏛 BALANCE SHEET'!T12)</f>
        <v>0</v>
      </c>
      <c r="V17" s="69">
        <f>-('🏛 BALANCE SHEET'!V12-'🏛 BALANCE SHEET'!U12)</f>
        <v>0</v>
      </c>
    </row>
    <row r="18" spans="1:22" ht="15" customHeight="1" x14ac:dyDescent="0.25">
      <c r="A18" s="97" t="s">
        <v>314</v>
      </c>
      <c r="B18" s="98">
        <f t="shared" ref="B18:V18" si="2">B14+B15+B16+B17</f>
        <v>787.17379000000005</v>
      </c>
      <c r="C18" s="98">
        <f t="shared" si="2"/>
        <v>-305.06809762147725</v>
      </c>
      <c r="D18" s="98">
        <f t="shared" si="2"/>
        <v>-47.400385377386364</v>
      </c>
      <c r="E18" s="98">
        <f t="shared" si="2"/>
        <v>-47.400385377386364</v>
      </c>
      <c r="F18" s="98">
        <f t="shared" si="2"/>
        <v>-47.400385377386371</v>
      </c>
      <c r="G18" s="98">
        <f t="shared" si="2"/>
        <v>-47.400385377386371</v>
      </c>
      <c r="H18" s="98">
        <f t="shared" si="2"/>
        <v>-40.318579241022746</v>
      </c>
      <c r="I18" s="98">
        <f t="shared" si="2"/>
        <v>-16.033434627954563</v>
      </c>
      <c r="J18" s="98">
        <f t="shared" si="2"/>
        <v>0</v>
      </c>
      <c r="K18" s="98">
        <f t="shared" si="2"/>
        <v>0</v>
      </c>
      <c r="L18" s="98">
        <f t="shared" si="2"/>
        <v>0</v>
      </c>
      <c r="M18" s="98">
        <f t="shared" si="2"/>
        <v>0</v>
      </c>
      <c r="N18" s="98">
        <f t="shared" si="2"/>
        <v>0</v>
      </c>
      <c r="O18" s="98">
        <f t="shared" si="2"/>
        <v>0</v>
      </c>
      <c r="P18" s="98">
        <f t="shared" si="2"/>
        <v>0</v>
      </c>
      <c r="Q18" s="98">
        <f t="shared" si="2"/>
        <v>0</v>
      </c>
      <c r="R18" s="98">
        <f t="shared" si="2"/>
        <v>0</v>
      </c>
      <c r="S18" s="98">
        <f t="shared" si="2"/>
        <v>0</v>
      </c>
      <c r="T18" s="98">
        <f t="shared" si="2"/>
        <v>0</v>
      </c>
      <c r="U18" s="98">
        <f t="shared" si="2"/>
        <v>0</v>
      </c>
      <c r="V18" s="98">
        <f t="shared" si="2"/>
        <v>0</v>
      </c>
    </row>
    <row r="20" spans="1:22" ht="15" customHeight="1" x14ac:dyDescent="0.25">
      <c r="A20" s="49" t="s">
        <v>315</v>
      </c>
      <c r="B20" s="99">
        <f>B11+B18</f>
        <v>0</v>
      </c>
      <c r="C20" s="99">
        <f t="shared" ref="C20:V20" si="3">C11+C18+C7</f>
        <v>-65.745033583977261</v>
      </c>
      <c r="D20" s="99">
        <f t="shared" si="3"/>
        <v>-46.076511339886366</v>
      </c>
      <c r="E20" s="99">
        <f t="shared" si="3"/>
        <v>-42.528103003750005</v>
      </c>
      <c r="F20" s="99">
        <f t="shared" si="3"/>
        <v>-38.999925647613651</v>
      </c>
      <c r="G20" s="99">
        <f t="shared" si="3"/>
        <v>-35.494422776877286</v>
      </c>
      <c r="H20" s="99">
        <f t="shared" si="3"/>
        <v>-24.932325296719313</v>
      </c>
      <c r="I20" s="99">
        <f t="shared" si="3"/>
        <v>2.8052633059275749</v>
      </c>
      <c r="J20" s="99">
        <f t="shared" si="3"/>
        <v>20.737966136308188</v>
      </c>
      <c r="K20" s="99">
        <f t="shared" si="3"/>
        <v>18.741400689699994</v>
      </c>
      <c r="L20" s="99">
        <f t="shared" si="3"/>
        <v>16.708431354094863</v>
      </c>
      <c r="M20" s="99">
        <f t="shared" si="3"/>
        <v>-90.92722498005034</v>
      </c>
      <c r="N20" s="99">
        <f t="shared" si="3"/>
        <v>19.318866684197133</v>
      </c>
      <c r="O20" s="99">
        <f t="shared" si="3"/>
        <v>2.7379038916569911</v>
      </c>
      <c r="P20" s="99">
        <f t="shared" si="3"/>
        <v>0.67953953478983209</v>
      </c>
      <c r="Q20" s="99">
        <f t="shared" si="3"/>
        <v>-1.4350827406266617</v>
      </c>
      <c r="R20" s="99">
        <f t="shared" si="3"/>
        <v>-3.6097090365058833</v>
      </c>
      <c r="S20" s="99">
        <f t="shared" si="3"/>
        <v>-5.8482540957370972</v>
      </c>
      <c r="T20" s="99">
        <f t="shared" si="3"/>
        <v>-8.1548101075167594</v>
      </c>
      <c r="U20" s="99">
        <f t="shared" si="3"/>
        <v>-10.533655945480554</v>
      </c>
      <c r="V20" s="99">
        <f t="shared" si="3"/>
        <v>-12.989266860425758</v>
      </c>
    </row>
    <row r="21" spans="1:22" ht="15" customHeight="1" x14ac:dyDescent="0.25">
      <c r="A21" s="14" t="s">
        <v>316</v>
      </c>
      <c r="B21" s="72">
        <v>0</v>
      </c>
      <c r="C21" s="100">
        <f t="shared" ref="C21:V21" si="4">B22</f>
        <v>0</v>
      </c>
      <c r="D21" s="100">
        <f t="shared" si="4"/>
        <v>-65.745033583977261</v>
      </c>
      <c r="E21" s="100">
        <f t="shared" si="4"/>
        <v>-111.82154492386363</v>
      </c>
      <c r="F21" s="100">
        <f t="shared" si="4"/>
        <v>-154.34964792761363</v>
      </c>
      <c r="G21" s="100">
        <f t="shared" si="4"/>
        <v>-193.34957357522728</v>
      </c>
      <c r="H21" s="100">
        <f t="shared" si="4"/>
        <v>-228.84399635210457</v>
      </c>
      <c r="I21" s="100">
        <f t="shared" si="4"/>
        <v>-253.77632164882388</v>
      </c>
      <c r="J21" s="100">
        <f t="shared" si="4"/>
        <v>-250.9710583428963</v>
      </c>
      <c r="K21" s="100">
        <f t="shared" si="4"/>
        <v>-230.23309220658811</v>
      </c>
      <c r="L21" s="100">
        <f t="shared" si="4"/>
        <v>-211.49169151688812</v>
      </c>
      <c r="M21" s="100">
        <f t="shared" si="4"/>
        <v>-194.78326016279325</v>
      </c>
      <c r="N21" s="100">
        <f t="shared" si="4"/>
        <v>-285.71048514284359</v>
      </c>
      <c r="O21" s="100">
        <f t="shared" si="4"/>
        <v>-266.39161845864646</v>
      </c>
      <c r="P21" s="100">
        <f t="shared" si="4"/>
        <v>-263.65371456698949</v>
      </c>
      <c r="Q21" s="100">
        <f t="shared" si="4"/>
        <v>-262.97417503219964</v>
      </c>
      <c r="R21" s="100">
        <f t="shared" si="4"/>
        <v>-264.40925777282632</v>
      </c>
      <c r="S21" s="100">
        <f t="shared" si="4"/>
        <v>-268.0189668093322</v>
      </c>
      <c r="T21" s="100">
        <f t="shared" si="4"/>
        <v>-273.8672209050693</v>
      </c>
      <c r="U21" s="100">
        <f t="shared" si="4"/>
        <v>-282.02203101258607</v>
      </c>
      <c r="V21" s="100">
        <f t="shared" si="4"/>
        <v>-292.55568695806664</v>
      </c>
    </row>
    <row r="22" spans="1:22" ht="15" customHeight="1" x14ac:dyDescent="0.25">
      <c r="A22" s="74" t="s">
        <v>317</v>
      </c>
      <c r="B22" s="75">
        <f t="shared" ref="B22:V22" si="5">B21+B20</f>
        <v>0</v>
      </c>
      <c r="C22" s="75">
        <f t="shared" si="5"/>
        <v>-65.745033583977261</v>
      </c>
      <c r="D22" s="75">
        <f t="shared" si="5"/>
        <v>-111.82154492386363</v>
      </c>
      <c r="E22" s="75">
        <f t="shared" si="5"/>
        <v>-154.34964792761363</v>
      </c>
      <c r="F22" s="75">
        <f t="shared" si="5"/>
        <v>-193.34957357522728</v>
      </c>
      <c r="G22" s="75">
        <f t="shared" si="5"/>
        <v>-228.84399635210457</v>
      </c>
      <c r="H22" s="75">
        <f t="shared" si="5"/>
        <v>-253.77632164882388</v>
      </c>
      <c r="I22" s="75">
        <f t="shared" si="5"/>
        <v>-250.9710583428963</v>
      </c>
      <c r="J22" s="75">
        <f t="shared" si="5"/>
        <v>-230.23309220658811</v>
      </c>
      <c r="K22" s="75">
        <f t="shared" si="5"/>
        <v>-211.49169151688812</v>
      </c>
      <c r="L22" s="75">
        <f t="shared" si="5"/>
        <v>-194.78326016279325</v>
      </c>
      <c r="M22" s="75">
        <f t="shared" si="5"/>
        <v>-285.71048514284359</v>
      </c>
      <c r="N22" s="75">
        <f t="shared" si="5"/>
        <v>-266.39161845864646</v>
      </c>
      <c r="O22" s="75">
        <f t="shared" si="5"/>
        <v>-263.65371456698949</v>
      </c>
      <c r="P22" s="75">
        <f t="shared" si="5"/>
        <v>-262.97417503219964</v>
      </c>
      <c r="Q22" s="75">
        <f t="shared" si="5"/>
        <v>-264.40925777282632</v>
      </c>
      <c r="R22" s="75">
        <f t="shared" si="5"/>
        <v>-268.0189668093322</v>
      </c>
      <c r="S22" s="75">
        <f t="shared" si="5"/>
        <v>-273.8672209050693</v>
      </c>
      <c r="T22" s="75">
        <f t="shared" si="5"/>
        <v>-282.02203101258607</v>
      </c>
      <c r="U22" s="75">
        <f t="shared" si="5"/>
        <v>-292.55568695806664</v>
      </c>
      <c r="V22" s="75">
        <f t="shared" si="5"/>
        <v>-305.54495381849239</v>
      </c>
    </row>
    <row r="24" spans="1:22" ht="15" customHeight="1" x14ac:dyDescent="0.25">
      <c r="A24" s="144" t="s">
        <v>318</v>
      </c>
      <c r="B24" s="144"/>
      <c r="C24" s="144"/>
      <c r="D24" s="144"/>
      <c r="E24" s="144"/>
      <c r="F24" s="144"/>
      <c r="G24" s="144"/>
      <c r="H24" s="144"/>
      <c r="I24" s="144"/>
      <c r="J24" s="144"/>
      <c r="K24" s="144"/>
      <c r="L24" s="144"/>
      <c r="M24" s="144"/>
      <c r="N24" s="144"/>
      <c r="O24" s="144"/>
      <c r="P24" s="144"/>
      <c r="Q24" s="144"/>
      <c r="R24" s="144"/>
      <c r="S24" s="144"/>
      <c r="T24" s="144"/>
      <c r="U24" s="144"/>
      <c r="V24" s="144"/>
    </row>
  </sheetData>
  <mergeCells count="6">
    <mergeCell ref="A24:V24"/>
    <mergeCell ref="A1:V1"/>
    <mergeCell ref="A2:V2"/>
    <mergeCell ref="A4:V4"/>
    <mergeCell ref="A9:V9"/>
    <mergeCell ref="A13:V13"/>
  </mergeCell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4AC0D"/>
  </sheetPr>
  <dimension ref="A1:V13"/>
  <sheetViews>
    <sheetView zoomScaleNormal="100" workbookViewId="0">
      <selection sqref="A1:V1"/>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140" t="s">
        <v>319</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320</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5" customHeight="1" x14ac:dyDescent="0.25">
      <c r="A4" s="45" t="s">
        <v>263</v>
      </c>
      <c r="B4" s="48"/>
      <c r="C4" s="80">
        <f>'📈 P&amp;L'!C15</f>
        <v>33.929891734999998</v>
      </c>
      <c r="D4" s="80">
        <f>'📈 P&amp;L'!D15</f>
        <v>32.111191735000006</v>
      </c>
      <c r="E4" s="80">
        <f>'📈 P&amp;L'!E15</f>
        <v>30.274615734999998</v>
      </c>
      <c r="F4" s="80">
        <f>'📈 P&amp;L'!F15</f>
        <v>28.417808754999996</v>
      </c>
      <c r="G4" s="80">
        <f>'📈 P&amp;L'!G15</f>
        <v>26.538327289599998</v>
      </c>
      <c r="H4" s="80">
        <f>'📈 P&amp;L'!H15</f>
        <v>24.633634297257988</v>
      </c>
      <c r="I4" s="80">
        <f>'📈 P&amp;L'!I15</f>
        <v>22.701093950700326</v>
      </c>
      <c r="J4" s="80">
        <f>'📈 P&amp;L'!J15</f>
        <v>20.737966136308188</v>
      </c>
      <c r="K4" s="80">
        <f>'📈 P&amp;L'!K15</f>
        <v>18.741400689699997</v>
      </c>
      <c r="L4" s="80">
        <f>'📈 P&amp;L'!L15</f>
        <v>16.708431354094866</v>
      </c>
      <c r="M4" s="80">
        <f>'📈 P&amp;L'!M15</f>
        <v>21.572775019949653</v>
      </c>
      <c r="N4" s="80">
        <f>'📈 P&amp;L'!N15</f>
        <v>19.318866684197136</v>
      </c>
      <c r="O4" s="80">
        <f>'📈 P&amp;L'!O15</f>
        <v>2.7379038916569947</v>
      </c>
      <c r="P4" s="80">
        <f>'📈 P&amp;L'!P15</f>
        <v>0.67953953478983209</v>
      </c>
      <c r="Q4" s="80">
        <f>'📈 P&amp;L'!Q15</f>
        <v>-1.4350827406266617</v>
      </c>
      <c r="R4" s="80">
        <f>'📈 P&amp;L'!R15</f>
        <v>-3.6097090365058868</v>
      </c>
      <c r="S4" s="80">
        <f>'📈 P&amp;L'!S15</f>
        <v>-5.8482540957371008</v>
      </c>
      <c r="T4" s="80">
        <f>'📈 P&amp;L'!T15</f>
        <v>-8.1548101075167629</v>
      </c>
      <c r="U4" s="80">
        <f>'📈 P&amp;L'!U15</f>
        <v>-10.53365594548055</v>
      </c>
      <c r="V4" s="80">
        <f>'📈 P&amp;L'!V15</f>
        <v>-12.989266860425758</v>
      </c>
    </row>
    <row r="5" spans="1:22" ht="15" customHeight="1" x14ac:dyDescent="0.25">
      <c r="A5" s="68" t="s">
        <v>321</v>
      </c>
      <c r="B5" s="20"/>
      <c r="C5" s="69">
        <f>'📈 P&amp;L'!C25</f>
        <v>0</v>
      </c>
      <c r="D5" s="69">
        <f>'📈 P&amp;L'!D25</f>
        <v>0</v>
      </c>
      <c r="E5" s="69">
        <f>'📈 P&amp;L'!E25</f>
        <v>0</v>
      </c>
      <c r="F5" s="69">
        <f>'📈 P&amp;L'!F25</f>
        <v>0</v>
      </c>
      <c r="G5" s="69">
        <f>'📈 P&amp;L'!G25</f>
        <v>0</v>
      </c>
      <c r="H5" s="69">
        <f>'📈 P&amp;L'!H25</f>
        <v>0</v>
      </c>
      <c r="I5" s="69">
        <f>'📈 P&amp;L'!I25</f>
        <v>0</v>
      </c>
      <c r="J5" s="69">
        <f>'📈 P&amp;L'!J25</f>
        <v>0</v>
      </c>
      <c r="K5" s="69">
        <f>'📈 P&amp;L'!K25</f>
        <v>0</v>
      </c>
      <c r="L5" s="69">
        <f>'📈 P&amp;L'!L25</f>
        <v>0</v>
      </c>
      <c r="M5" s="69">
        <f>'📈 P&amp;L'!M25</f>
        <v>0</v>
      </c>
      <c r="N5" s="69">
        <f>'📈 P&amp;L'!N25</f>
        <v>0</v>
      </c>
      <c r="O5" s="69">
        <f>'📈 P&amp;L'!O25</f>
        <v>0</v>
      </c>
      <c r="P5" s="69">
        <f>'📈 P&amp;L'!P25</f>
        <v>0</v>
      </c>
      <c r="Q5" s="69">
        <f>'📈 P&amp;L'!Q25</f>
        <v>0</v>
      </c>
      <c r="R5" s="69">
        <f>'📈 P&amp;L'!R25</f>
        <v>0</v>
      </c>
      <c r="S5" s="69">
        <f>'📈 P&amp;L'!S25</f>
        <v>0</v>
      </c>
      <c r="T5" s="69">
        <f>'📈 P&amp;L'!T25</f>
        <v>0</v>
      </c>
      <c r="U5" s="69">
        <f>'📈 P&amp;L'!U25</f>
        <v>0</v>
      </c>
      <c r="V5" s="69">
        <f>'📈 P&amp;L'!V25</f>
        <v>0</v>
      </c>
    </row>
    <row r="6" spans="1:22" ht="15" customHeight="1" x14ac:dyDescent="0.25">
      <c r="A6" s="82" t="s">
        <v>322</v>
      </c>
      <c r="B6" s="66"/>
      <c r="C6" s="83">
        <f t="shared" ref="C6:V6" si="0">C4-C5</f>
        <v>33.929891734999998</v>
      </c>
      <c r="D6" s="83">
        <f t="shared" si="0"/>
        <v>32.111191735000006</v>
      </c>
      <c r="E6" s="83">
        <f t="shared" si="0"/>
        <v>30.274615734999998</v>
      </c>
      <c r="F6" s="83">
        <f t="shared" si="0"/>
        <v>28.417808754999996</v>
      </c>
      <c r="G6" s="83">
        <f t="shared" si="0"/>
        <v>26.538327289599998</v>
      </c>
      <c r="H6" s="83">
        <f t="shared" si="0"/>
        <v>24.633634297257988</v>
      </c>
      <c r="I6" s="83">
        <f t="shared" si="0"/>
        <v>22.701093950700326</v>
      </c>
      <c r="J6" s="83">
        <f t="shared" si="0"/>
        <v>20.737966136308188</v>
      </c>
      <c r="K6" s="83">
        <f t="shared" si="0"/>
        <v>18.741400689699997</v>
      </c>
      <c r="L6" s="83">
        <f t="shared" si="0"/>
        <v>16.708431354094866</v>
      </c>
      <c r="M6" s="83">
        <f t="shared" si="0"/>
        <v>21.572775019949653</v>
      </c>
      <c r="N6" s="83">
        <f t="shared" si="0"/>
        <v>19.318866684197136</v>
      </c>
      <c r="O6" s="83">
        <f t="shared" si="0"/>
        <v>2.7379038916569947</v>
      </c>
      <c r="P6" s="83">
        <f t="shared" si="0"/>
        <v>0.67953953478983209</v>
      </c>
      <c r="Q6" s="83">
        <f t="shared" si="0"/>
        <v>-1.4350827406266617</v>
      </c>
      <c r="R6" s="83">
        <f t="shared" si="0"/>
        <v>-3.6097090365058868</v>
      </c>
      <c r="S6" s="83">
        <f t="shared" si="0"/>
        <v>-5.8482540957371008</v>
      </c>
      <c r="T6" s="83">
        <f t="shared" si="0"/>
        <v>-8.1548101075167629</v>
      </c>
      <c r="U6" s="83">
        <f t="shared" si="0"/>
        <v>-10.53365594548055</v>
      </c>
      <c r="V6" s="83">
        <f t="shared" si="0"/>
        <v>-12.989266860425758</v>
      </c>
    </row>
    <row r="7" spans="1:22" ht="15" customHeight="1" x14ac:dyDescent="0.25">
      <c r="A7" s="42" t="s">
        <v>252</v>
      </c>
      <c r="B7" s="40"/>
      <c r="C7" s="73">
        <f>'🏦 DEBT SCHEDULE'!C9</f>
        <v>59.234827697500002</v>
      </c>
      <c r="D7" s="73">
        <f>'🏦 DEBT SCHEDULE'!D9</f>
        <v>80.880195242954557</v>
      </c>
      <c r="E7" s="73">
        <f>'🏦 DEBT SCHEDULE'!E9</f>
        <v>75.495210906818187</v>
      </c>
      <c r="F7" s="73">
        <f>'🏦 DEBT SCHEDULE'!F9</f>
        <v>70.110226570681817</v>
      </c>
      <c r="G7" s="73">
        <f>'🏦 DEBT SCHEDULE'!G9</f>
        <v>64.725242234545462</v>
      </c>
      <c r="H7" s="73">
        <f>'🏦 DEBT SCHEDULE'!H9</f>
        <v>59.340257898409099</v>
      </c>
      <c r="I7" s="73">
        <f>'🏦 DEBT SCHEDULE'!I9</f>
        <v>39.791661289545502</v>
      </c>
      <c r="J7" s="73">
        <f>'🏦 DEBT SCHEDULE'!J9</f>
        <v>0</v>
      </c>
      <c r="K7" s="73">
        <f>'🏦 DEBT SCHEDULE'!K9</f>
        <v>0</v>
      </c>
      <c r="L7" s="73">
        <f>'🏦 DEBT SCHEDULE'!L9</f>
        <v>0</v>
      </c>
      <c r="M7" s="73">
        <f>'🏦 DEBT SCHEDULE'!M9</f>
        <v>0</v>
      </c>
      <c r="N7" s="73">
        <f>'🏦 DEBT SCHEDULE'!N9</f>
        <v>0</v>
      </c>
      <c r="O7" s="73">
        <f>'🏦 DEBT SCHEDULE'!O9</f>
        <v>0</v>
      </c>
      <c r="P7" s="73">
        <f>'🏦 DEBT SCHEDULE'!P9</f>
        <v>0</v>
      </c>
      <c r="Q7" s="73">
        <f>'🏦 DEBT SCHEDULE'!Q9</f>
        <v>0</v>
      </c>
      <c r="R7" s="73">
        <f>'🏦 DEBT SCHEDULE'!R9</f>
        <v>0</v>
      </c>
      <c r="S7" s="73">
        <f>'🏦 DEBT SCHEDULE'!S9</f>
        <v>0</v>
      </c>
      <c r="T7" s="73">
        <f>'🏦 DEBT SCHEDULE'!T9</f>
        <v>0</v>
      </c>
      <c r="U7" s="73">
        <f>'🏦 DEBT SCHEDULE'!U9</f>
        <v>0</v>
      </c>
      <c r="V7" s="73">
        <f>'🏦 DEBT SCHEDULE'!V9</f>
        <v>0</v>
      </c>
    </row>
    <row r="8" spans="1:22" ht="15" customHeight="1" x14ac:dyDescent="0.25">
      <c r="A8" s="93" t="s">
        <v>323</v>
      </c>
      <c r="B8" s="101"/>
      <c r="C8" s="102">
        <f t="shared" ref="C8:V8" si="1">IFERROR(C6/C7,0)</f>
        <v>0.57280307977382716</v>
      </c>
      <c r="D8" s="102">
        <f t="shared" si="1"/>
        <v>0.39702168916063785</v>
      </c>
      <c r="E8" s="102">
        <f t="shared" si="1"/>
        <v>0.40101372486219272</v>
      </c>
      <c r="F8" s="102">
        <f t="shared" si="1"/>
        <v>0.40533043672809277</v>
      </c>
      <c r="G8" s="102">
        <f t="shared" si="1"/>
        <v>0.41001510961415666</v>
      </c>
      <c r="H8" s="102">
        <f t="shared" si="1"/>
        <v>0.41512516409064026</v>
      </c>
      <c r="I8" s="102">
        <f t="shared" si="1"/>
        <v>0.57049877323580367</v>
      </c>
      <c r="J8" s="102">
        <f t="shared" si="1"/>
        <v>0</v>
      </c>
      <c r="K8" s="102">
        <f t="shared" si="1"/>
        <v>0</v>
      </c>
      <c r="L8" s="102">
        <f t="shared" si="1"/>
        <v>0</v>
      </c>
      <c r="M8" s="102">
        <f t="shared" si="1"/>
        <v>0</v>
      </c>
      <c r="N8" s="102">
        <f t="shared" si="1"/>
        <v>0</v>
      </c>
      <c r="O8" s="102">
        <f t="shared" si="1"/>
        <v>0</v>
      </c>
      <c r="P8" s="102">
        <f t="shared" si="1"/>
        <v>0</v>
      </c>
      <c r="Q8" s="102">
        <f t="shared" si="1"/>
        <v>0</v>
      </c>
      <c r="R8" s="102">
        <f t="shared" si="1"/>
        <v>0</v>
      </c>
      <c r="S8" s="102">
        <f t="shared" si="1"/>
        <v>0</v>
      </c>
      <c r="T8" s="102">
        <f t="shared" si="1"/>
        <v>0</v>
      </c>
      <c r="U8" s="102">
        <f t="shared" si="1"/>
        <v>0</v>
      </c>
      <c r="V8" s="102">
        <f t="shared" si="1"/>
        <v>0</v>
      </c>
    </row>
    <row r="9" spans="1:22" ht="21.75" customHeight="1" x14ac:dyDescent="0.25">
      <c r="A9" s="14" t="s">
        <v>324</v>
      </c>
      <c r="B9" s="33"/>
      <c r="C9" s="77" t="str">
        <f t="shared" ref="C9:V9" si="2">IF(C7=0,"—",IF(C8&gt;=1.2,"✅ OK",IF(C8&gt;=1,"⚠ Tight","🔴 Below 1.0x")))</f>
        <v>🔴 Below 1.0x</v>
      </c>
      <c r="D9" s="77" t="str">
        <f t="shared" si="2"/>
        <v>🔴 Below 1.0x</v>
      </c>
      <c r="E9" s="77" t="str">
        <f t="shared" si="2"/>
        <v>🔴 Below 1.0x</v>
      </c>
      <c r="F9" s="77" t="str">
        <f t="shared" si="2"/>
        <v>🔴 Below 1.0x</v>
      </c>
      <c r="G9" s="77" t="str">
        <f t="shared" si="2"/>
        <v>🔴 Below 1.0x</v>
      </c>
      <c r="H9" s="77" t="str">
        <f t="shared" si="2"/>
        <v>🔴 Below 1.0x</v>
      </c>
      <c r="I9" s="77" t="str">
        <f t="shared" si="2"/>
        <v>🔴 Below 1.0x</v>
      </c>
      <c r="J9" s="77" t="str">
        <f t="shared" si="2"/>
        <v>—</v>
      </c>
      <c r="K9" s="77" t="str">
        <f t="shared" si="2"/>
        <v>—</v>
      </c>
      <c r="L9" s="77" t="str">
        <f t="shared" si="2"/>
        <v>—</v>
      </c>
      <c r="M9" s="77" t="str">
        <f t="shared" si="2"/>
        <v>—</v>
      </c>
      <c r="N9" s="77" t="str">
        <f t="shared" si="2"/>
        <v>—</v>
      </c>
      <c r="O9" s="77" t="str">
        <f t="shared" si="2"/>
        <v>—</v>
      </c>
      <c r="P9" s="77" t="str">
        <f t="shared" si="2"/>
        <v>—</v>
      </c>
      <c r="Q9" s="77" t="str">
        <f t="shared" si="2"/>
        <v>—</v>
      </c>
      <c r="R9" s="77" t="str">
        <f t="shared" si="2"/>
        <v>—</v>
      </c>
      <c r="S9" s="77" t="str">
        <f t="shared" si="2"/>
        <v>—</v>
      </c>
      <c r="T9" s="77" t="str">
        <f t="shared" si="2"/>
        <v>—</v>
      </c>
      <c r="U9" s="77" t="str">
        <f t="shared" si="2"/>
        <v>—</v>
      </c>
      <c r="V9" s="77" t="str">
        <f t="shared" si="2"/>
        <v>—</v>
      </c>
    </row>
    <row r="11" spans="1:22" ht="21.75" customHeight="1" x14ac:dyDescent="0.25">
      <c r="A11" s="154" t="s">
        <v>325</v>
      </c>
      <c r="B11" s="154"/>
      <c r="C11" s="154"/>
      <c r="D11" s="154"/>
    </row>
    <row r="12" spans="1:22" ht="15" customHeight="1" x14ac:dyDescent="0.25">
      <c r="A12" s="78" t="s">
        <v>326</v>
      </c>
      <c r="B12" s="103">
        <f>_xlfn.MINIFS(C8:V8,C7:V7,"&gt;0")</f>
        <v>0.39702168916063785</v>
      </c>
    </row>
    <row r="13" spans="1:22" ht="15" customHeight="1" x14ac:dyDescent="0.25">
      <c r="A13" s="78" t="s">
        <v>327</v>
      </c>
      <c r="B13" s="103">
        <f>AVERAGEIFS(C8:V8,C7:V7,"&gt;0")</f>
        <v>0.45311542535219301</v>
      </c>
    </row>
  </sheetData>
  <mergeCells count="3">
    <mergeCell ref="A1:V1"/>
    <mergeCell ref="A2:V2"/>
    <mergeCell ref="A11:D11"/>
  </mergeCell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C3483"/>
  </sheetPr>
  <dimension ref="A1:W34"/>
  <sheetViews>
    <sheetView zoomScaleNormal="100" workbookViewId="0">
      <pane ySplit="3" topLeftCell="A4" activePane="bottomLeft" state="frozen"/>
      <selection pane="bottomLeft" sqref="A1:C1"/>
    </sheetView>
  </sheetViews>
  <sheetFormatPr defaultColWidth="8.7109375" defaultRowHeight="15" x14ac:dyDescent="0.25"/>
  <cols>
    <col min="1" max="1" width="41.140625" customWidth="1"/>
    <col min="2" max="2" width="18" customWidth="1"/>
    <col min="3" max="3" width="30" customWidth="1"/>
    <col min="4" max="23" width="10.5703125" customWidth="1"/>
  </cols>
  <sheetData>
    <row r="1" spans="1:3" ht="30" customHeight="1" x14ac:dyDescent="0.25">
      <c r="A1" s="140" t="s">
        <v>328</v>
      </c>
      <c r="B1" s="140"/>
      <c r="C1" s="140"/>
    </row>
    <row r="2" spans="1:3" ht="15" customHeight="1" x14ac:dyDescent="0.25">
      <c r="A2" s="141" t="s">
        <v>329</v>
      </c>
      <c r="B2" s="141"/>
      <c r="C2" s="141"/>
    </row>
    <row r="3" spans="1:3" ht="21.75" customHeight="1" x14ac:dyDescent="0.25">
      <c r="A3" s="154" t="s">
        <v>330</v>
      </c>
      <c r="B3" s="154"/>
      <c r="C3" s="154"/>
    </row>
    <row r="4" spans="1:3" ht="15" customHeight="1" x14ac:dyDescent="0.25">
      <c r="A4" s="14" t="s">
        <v>331</v>
      </c>
      <c r="B4" s="104">
        <f>'📋 ASSUMPTIONS'!$B$67</f>
        <v>7.0000000000000007E-2</v>
      </c>
      <c r="C4" s="33"/>
    </row>
    <row r="5" spans="1:3" ht="15" customHeight="1" x14ac:dyDescent="0.25">
      <c r="A5" s="14" t="s">
        <v>332</v>
      </c>
      <c r="B5" s="104">
        <f>'📋 ASSUMPTIONS'!$B$68</f>
        <v>6.5000000000000002E-2</v>
      </c>
      <c r="C5" s="33"/>
    </row>
    <row r="6" spans="1:3" ht="15" customHeight="1" x14ac:dyDescent="0.25">
      <c r="A6" s="14" t="s">
        <v>333</v>
      </c>
      <c r="B6" s="105">
        <f>'📋 ASSUMPTIONS'!$B$69</f>
        <v>0.9</v>
      </c>
      <c r="C6" s="33"/>
    </row>
    <row r="7" spans="1:3" ht="15" customHeight="1" x14ac:dyDescent="0.25">
      <c r="A7" s="74" t="s">
        <v>334</v>
      </c>
      <c r="B7" s="106">
        <f>B4+B6*B5</f>
        <v>0.1285</v>
      </c>
      <c r="C7" s="48"/>
    </row>
    <row r="8" spans="1:3" ht="15" customHeight="1" x14ac:dyDescent="0.25">
      <c r="A8" s="14" t="s">
        <v>335</v>
      </c>
      <c r="B8" s="104">
        <f>'📋 ASSUMPTIONS'!$B$34</f>
        <v>0.1075</v>
      </c>
      <c r="C8" s="33"/>
    </row>
    <row r="9" spans="1:3" ht="15" customHeight="1" x14ac:dyDescent="0.25">
      <c r="A9" s="18" t="s">
        <v>336</v>
      </c>
      <c r="B9" s="107">
        <f>B8*(1-'📋 ASSUMPTIONS'!$B$58)</f>
        <v>8.0442249999999993E-2</v>
      </c>
      <c r="C9" s="20"/>
    </row>
    <row r="10" spans="1:3" ht="15" customHeight="1" x14ac:dyDescent="0.25">
      <c r="A10" s="42" t="s">
        <v>337</v>
      </c>
      <c r="B10" s="108">
        <f>'💰 CAPEX &amp; MOF'!$B$23/'💰 CAPEX &amp; MOF'!$B$17</f>
        <v>0.7</v>
      </c>
      <c r="C10" s="40"/>
    </row>
    <row r="11" spans="1:3" ht="15" customHeight="1" x14ac:dyDescent="0.25">
      <c r="A11" s="42" t="s">
        <v>338</v>
      </c>
      <c r="B11" s="60">
        <f>1-B10</f>
        <v>0.30000000000000004</v>
      </c>
      <c r="C11" s="40"/>
    </row>
    <row r="12" spans="1:3" ht="26.25" customHeight="1" x14ac:dyDescent="0.25">
      <c r="A12" s="109" t="s">
        <v>339</v>
      </c>
      <c r="B12" s="110">
        <f>B11*B7+B10*B9</f>
        <v>9.4859575000000002E-2</v>
      </c>
      <c r="C12" s="101"/>
    </row>
    <row r="14" spans="1:3" ht="21.75" customHeight="1" x14ac:dyDescent="0.25">
      <c r="A14" s="142" t="s">
        <v>340</v>
      </c>
      <c r="B14" s="142"/>
      <c r="C14" s="142"/>
    </row>
    <row r="15" spans="1:3" ht="15" customHeight="1" x14ac:dyDescent="0.25">
      <c r="A15" s="144" t="s">
        <v>341</v>
      </c>
      <c r="B15" s="144"/>
      <c r="C15" s="144"/>
    </row>
    <row r="16" spans="1:3" ht="15" customHeight="1" x14ac:dyDescent="0.25">
      <c r="A16" s="65" t="s">
        <v>342</v>
      </c>
      <c r="B16" s="111">
        <f>IFERROR(IRR(C28:W28),"N/A — cash flows do not converge")</f>
        <v>-2.8379302582221211E-2</v>
      </c>
      <c r="C16" s="66"/>
    </row>
    <row r="17" spans="1:23" ht="15" customHeight="1" x14ac:dyDescent="0.25">
      <c r="A17" s="74" t="s">
        <v>343</v>
      </c>
      <c r="B17" s="64">
        <f>NPV(B12,D28:W28)+C28</f>
        <v>-323.3026647074642</v>
      </c>
      <c r="C17" s="48"/>
    </row>
    <row r="18" spans="1:23" ht="15" customHeight="1" x14ac:dyDescent="0.25">
      <c r="A18" s="14" t="s">
        <v>344</v>
      </c>
      <c r="B18" s="112" t="str">
        <f>IF(COUNTIF(C30:W30,"&lt;0")=21,"&gt; 20 yrs (No payback)",COUNTIF(C30:W30,"&lt;0"))</f>
        <v>&gt; 20 yrs (No payback)</v>
      </c>
      <c r="C18" s="113" t="s">
        <v>345</v>
      </c>
    </row>
    <row r="19" spans="1:23" ht="15" customHeight="1" x14ac:dyDescent="0.25">
      <c r="A19" s="14" t="s">
        <v>346</v>
      </c>
      <c r="B19" s="112" t="str">
        <f>IF(COUNTIF(C31:W31,"&lt;0")=21,"&gt; 20 yrs (No payback)",COUNTIF(C31:W31,"&lt;0"))</f>
        <v>&gt; 20 yrs (No payback)</v>
      </c>
      <c r="C19" s="113" t="s">
        <v>347</v>
      </c>
    </row>
    <row r="21" spans="1:23" ht="21.75" customHeight="1" x14ac:dyDescent="0.25">
      <c r="A21" s="143" t="s">
        <v>348</v>
      </c>
      <c r="B21" s="143"/>
      <c r="C21" s="143"/>
    </row>
    <row r="22" spans="1:23" ht="15" customHeight="1" x14ac:dyDescent="0.25">
      <c r="A22" s="144" t="s">
        <v>349</v>
      </c>
      <c r="B22" s="144"/>
      <c r="C22" s="144"/>
    </row>
    <row r="23" spans="1:23" ht="15" customHeight="1" x14ac:dyDescent="0.25">
      <c r="A23" s="70" t="s">
        <v>350</v>
      </c>
      <c r="B23" s="114" t="str">
        <f>IFERROR(IRR(C29:W29),"N/A — cash flows do not converge")</f>
        <v>N/A — cash flows do not converge</v>
      </c>
      <c r="C23" s="32"/>
    </row>
    <row r="24" spans="1:23" ht="15" customHeight="1" x14ac:dyDescent="0.25">
      <c r="A24" s="18" t="s">
        <v>351</v>
      </c>
      <c r="B24" s="115">
        <f>NPV(B7,D29:W29)+C29</f>
        <v>-373.57560116099393</v>
      </c>
      <c r="C24" s="20"/>
    </row>
    <row r="26" spans="1:23" ht="21.75" customHeight="1" x14ac:dyDescent="0.25">
      <c r="A26" s="161" t="s">
        <v>352</v>
      </c>
      <c r="B26" s="161"/>
      <c r="C26" s="161"/>
    </row>
    <row r="27" spans="1:23" ht="15" customHeight="1" x14ac:dyDescent="0.25">
      <c r="A27" s="57" t="s">
        <v>353</v>
      </c>
      <c r="B27" s="116"/>
      <c r="C27" s="58" t="s">
        <v>354</v>
      </c>
      <c r="D27" s="58" t="s">
        <v>355</v>
      </c>
      <c r="E27" s="58" t="s">
        <v>356</v>
      </c>
      <c r="F27" s="58" t="s">
        <v>357</v>
      </c>
      <c r="G27" s="58" t="s">
        <v>358</v>
      </c>
      <c r="H27" s="58" t="s">
        <v>359</v>
      </c>
      <c r="I27" s="58" t="s">
        <v>360</v>
      </c>
      <c r="J27" s="58" t="s">
        <v>361</v>
      </c>
      <c r="K27" s="58" t="s">
        <v>362</v>
      </c>
      <c r="L27" s="58" t="s">
        <v>363</v>
      </c>
      <c r="M27" s="58" t="s">
        <v>364</v>
      </c>
      <c r="N27" s="58" t="s">
        <v>365</v>
      </c>
      <c r="O27" s="58" t="s">
        <v>366</v>
      </c>
      <c r="P27" s="58" t="s">
        <v>367</v>
      </c>
      <c r="Q27" s="58" t="s">
        <v>368</v>
      </c>
      <c r="R27" s="58" t="s">
        <v>369</v>
      </c>
      <c r="S27" s="58" t="s">
        <v>370</v>
      </c>
      <c r="T27" s="58" t="s">
        <v>371</v>
      </c>
      <c r="U27" s="58" t="s">
        <v>372</v>
      </c>
      <c r="V27" s="58" t="s">
        <v>373</v>
      </c>
      <c r="W27" s="58" t="s">
        <v>374</v>
      </c>
    </row>
    <row r="28" spans="1:23" ht="15" customHeight="1" x14ac:dyDescent="0.25">
      <c r="A28" s="42" t="s">
        <v>375</v>
      </c>
      <c r="B28" s="72"/>
      <c r="C28" s="73">
        <f>-'💰 CAPEX &amp; MOF'!$B$17</f>
        <v>-787.17379000000005</v>
      </c>
      <c r="D28" s="73">
        <f>'📈 P&amp;L'!C15-('📈 P&amp;L'!C15-'📈 P&amp;L'!C18)*'📋 ASSUMPTIONS'!$B$58+IF(1='💰 CAPEX &amp; MOF'!$B$31,'💰 CAPEX &amp; MOF'!$B$30,0)</f>
        <v>299.42899102509296</v>
      </c>
      <c r="E28" s="73">
        <f>'📈 P&amp;L'!D15-('📈 P&amp;L'!D15-'📈 P&amp;L'!D18)*'📋 ASSUMPTIONS'!$B$58+IF(2='💰 CAPEX &amp; MOF'!$B$31,'💰 CAPEX &amp; MOF'!$B$30,0)</f>
        <v>33.440057815093006</v>
      </c>
      <c r="F28" s="73">
        <f>'📈 P&amp;L'!E15-('📈 P&amp;L'!E15-'📈 P&amp;L'!E18)*'📋 ASSUMPTIONS'!$B$58+IF(3='💰 CAPEX &amp; MOF'!$B$31,'💰 CAPEX &amp; MOF'!$B$30,0)</f>
        <v>32.065747994292998</v>
      </c>
      <c r="G28" s="73">
        <f>'📈 P&amp;L'!F15-('📈 P&amp;L'!F15-'📈 P&amp;L'!F18)*'📋 ASSUMPTIONS'!$B$58+IF(4='💰 CAPEX &amp; MOF'!$B$31,'💰 CAPEX &amp; MOF'!$B$30,0)</f>
        <v>30.676299331158997</v>
      </c>
      <c r="H28" s="73">
        <f>'📈 P&amp;L'!G15-('📈 P&amp;L'!G15-'📈 P&amp;L'!G18)*'📋 ASSUMPTIONS'!$B$58+IF(5='💰 CAPEX &amp; MOF'!$B$31,'💰 CAPEX &amp; MOF'!$B$30,0)</f>
        <v>29.269883350600178</v>
      </c>
      <c r="I28" s="73">
        <f>'📈 P&amp;L'!H15-('📈 P&amp;L'!H15-'📈 P&amp;L'!H18)*'📋 ASSUMPTIONS'!$B$58+IF(6='💰 CAPEX &amp; MOF'!$B$31,'💰 CAPEX &amp; MOF'!$B$30,0)</f>
        <v>27.844601584430652</v>
      </c>
      <c r="J28" s="73">
        <f>'📈 P&amp;L'!I15-('📈 P&amp;L'!I15-'📈 P&amp;L'!I18)*'📋 ASSUMPTIONS'!$B$58+IF(7='💰 CAPEX &amp; MOF'!$B$31,'💰 CAPEX &amp; MOF'!$B$30,0)</f>
        <v>26.398481643101555</v>
      </c>
      <c r="K28" s="73">
        <f>'📈 P&amp;L'!J15-('📈 P&amp;L'!J15-'📈 P&amp;L'!J18)*'📋 ASSUMPTIONS'!$B$58+IF(8='💰 CAPEX &amp; MOF'!$B$31,'💰 CAPEX &amp; MOF'!$B$30,0)</f>
        <v>24.929473099591917</v>
      </c>
      <c r="L28" s="73">
        <f>'📈 P&amp;L'!K15-('📈 P&amp;L'!K15-'📈 P&amp;L'!K18)*'📋 ASSUMPTIONS'!$B$58+IF(9='💰 CAPEX &amp; MOF'!$B$31,'💰 CAPEX &amp; MOF'!$B$30,0)</f>
        <v>23.435443175895006</v>
      </c>
      <c r="M28" s="73">
        <f>'📈 P&amp;L'!L15-('📈 P&amp;L'!L15-'📈 P&amp;L'!L18)*'📋 ASSUMPTIONS'!$B$58+IF(10='💰 CAPEX &amp; MOF'!$B$31,'💰 CAPEX &amp; MOF'!$B$30,0)</f>
        <v>21.914172222061687</v>
      </c>
      <c r="N28" s="73">
        <f>'📈 P&amp;L'!M15-('📈 P&amp;L'!M15-'📈 P&amp;L'!M18)*'📋 ASSUMPTIONS'!$B$58+IF(11='💰 CAPEX &amp; MOF'!$B$31,'💰 CAPEX &amp; MOF'!$B$30,0)</f>
        <v>28.385785587220823</v>
      </c>
      <c r="O28" s="73">
        <f>'📈 P&amp;L'!N15-('📈 P&amp;L'!N15-'📈 P&amp;L'!N18)*'📋 ASSUMPTIONS'!$B$58+IF(12='💰 CAPEX &amp; MOF'!$B$31,'💰 CAPEX &amp; MOF'!$B$30,0)</f>
        <v>26.699185979577216</v>
      </c>
      <c r="P28" s="73">
        <f>'📈 P&amp;L'!O15-('📈 P&amp;L'!O15-'📈 P&amp;L'!O18)*'📋 ASSUMPTIONS'!$B$58+IF(13='💰 CAPEX &amp; MOF'!$B$31,'💰 CAPEX &amp; MOF'!$B$30,0)</f>
        <v>14.291651521919428</v>
      </c>
      <c r="Q28" s="73">
        <f>'📈 P&amp;L'!P15-('📈 P&amp;L'!P15-'📈 P&amp;L'!P18)*'📋 ASSUMPTIONS'!$B$58+IF(14='💰 CAPEX &amp; MOF'!$B$31,'💰 CAPEX &amp; MOF'!$B$30,0)</f>
        <v>12.751377473675729</v>
      </c>
      <c r="R28" s="73">
        <f>'📈 P&amp;L'!Q15-('📈 P&amp;L'!Q15-'📈 P&amp;L'!Q18)*'📋 ASSUMPTIONS'!$B$58+IF(15='💰 CAPEX &amp; MOF'!$B$31,'💰 CAPEX &amp; MOF'!$B$30,0)</f>
        <v>11.169005624981567</v>
      </c>
      <c r="S28" s="73">
        <f>'📈 P&amp;L'!R15-('📈 P&amp;L'!R15-'📈 P&amp;L'!R18)*'📋 ASSUMPTIONS'!$B$58+IF(16='💰 CAPEX &amp; MOF'!$B$31,'💰 CAPEX &amp; MOF'!$B$30,0)</f>
        <v>9.5417327677751427</v>
      </c>
      <c r="T28" s="73">
        <f>'📈 P&amp;L'!S15-('📈 P&amp;L'!S15-'📈 P&amp;L'!S18)*'📋 ASSUMPTIONS'!$B$58+IF(17='💰 CAPEX &amp; MOF'!$B$31,'💰 CAPEX &amp; MOF'!$B$30,0)</f>
        <v>7.866629499952424</v>
      </c>
      <c r="U28" s="73">
        <f>'📈 P&amp;L'!T15-('📈 P&amp;L'!T15-'📈 P&amp;L'!T18)*'📋 ASSUMPTIONS'!$B$58+IF(18='💰 CAPEX &amp; MOF'!$B$31,'💰 CAPEX &amp; MOF'!$B$30,0)</f>
        <v>6.1406336363377036</v>
      </c>
      <c r="V28" s="73">
        <f>'📈 P&amp;L'!U15-('📈 P&amp;L'!U15-'📈 P&amp;L'!U18)*'📋 ASSUMPTIONS'!$B$58+IF(19='💰 CAPEX &amp; MOF'!$B$31,'💰 CAPEX &amp; MOF'!$B$30,0)</f>
        <v>4.3605432957894035</v>
      </c>
      <c r="W28" s="73">
        <f>'📈 P&amp;L'!V15-('📈 P&amp;L'!V15-'📈 P&amp;L'!V18)*'📋 ASSUMPTIONS'!$B$58+IF(20='💰 CAPEX &amp; MOF'!$B$31,'💰 CAPEX &amp; MOF'!$B$30,0)</f>
        <v>2.5230096481359041</v>
      </c>
    </row>
    <row r="29" spans="1:23" ht="15" customHeight="1" x14ac:dyDescent="0.25">
      <c r="A29" s="68" t="s">
        <v>376</v>
      </c>
      <c r="B29" s="72"/>
      <c r="C29" s="69">
        <f>-'💰 CAPEX &amp; MOF'!$B$24</f>
        <v>-236.15213700000004</v>
      </c>
      <c r="D29" s="69">
        <f>'📈 P&amp;L'!C26+'📈 P&amp;L'!C18-'📈 P&amp;L'!C20-'🏦 DEBT SCHEDULE'!C8</f>
        <v>-25.304935962500004</v>
      </c>
      <c r="E29" s="69">
        <f>'📈 P&amp;L'!D26+'📈 P&amp;L'!D18-'📈 P&amp;L'!D20-'🏦 DEBT SCHEDULE'!D8</f>
        <v>-48.769003507954551</v>
      </c>
      <c r="F29" s="69">
        <f>'📈 P&amp;L'!E26+'📈 P&amp;L'!E18-'📈 P&amp;L'!E20-'🏦 DEBT SCHEDULE'!E8</f>
        <v>-45.220595171818189</v>
      </c>
      <c r="G29" s="69">
        <f>'📈 P&amp;L'!F26+'📈 P&amp;L'!F18-'📈 P&amp;L'!F20-'🏦 DEBT SCHEDULE'!F8</f>
        <v>-41.692417815681829</v>
      </c>
      <c r="H29" s="69">
        <f>'📈 P&amp;L'!G26+'📈 P&amp;L'!G18-'📈 P&amp;L'!G20-'🏦 DEBT SCHEDULE'!G8</f>
        <v>-38.186914944945464</v>
      </c>
      <c r="I29" s="69">
        <f>'📈 P&amp;L'!H26+'📈 P&amp;L'!H18-'📈 P&amp;L'!H20-'🏦 DEBT SCHEDULE'!H8</f>
        <v>-34.706623601151115</v>
      </c>
      <c r="J29" s="69">
        <f>'📈 P&amp;L'!I26+'📈 P&amp;L'!I18-'📈 P&amp;L'!I20-'🏦 DEBT SCHEDULE'!I8</f>
        <v>-17.090567338845176</v>
      </c>
      <c r="K29" s="69">
        <f>'📈 P&amp;L'!J26+'📈 P&amp;L'!J18-'📈 P&amp;L'!J20-'🏦 DEBT SCHEDULE'!J8</f>
        <v>20.737966136308188</v>
      </c>
      <c r="L29" s="69">
        <f>'📈 P&amp;L'!K26+'📈 P&amp;L'!K18-'📈 P&amp;L'!K20-'🏦 DEBT SCHEDULE'!K8</f>
        <v>18.741400689699994</v>
      </c>
      <c r="M29" s="69">
        <f>'📈 P&amp;L'!L26+'📈 P&amp;L'!L18-'📈 P&amp;L'!L20-'🏦 DEBT SCHEDULE'!L8</f>
        <v>16.708431354094863</v>
      </c>
      <c r="N29" s="69">
        <f>'📈 P&amp;L'!M26+'📈 P&amp;L'!M18-'📈 P&amp;L'!M20-'🏦 DEBT SCHEDULE'!M8</f>
        <v>21.572775019949653</v>
      </c>
      <c r="O29" s="69">
        <f>'📈 P&amp;L'!N26+'📈 P&amp;L'!N18-'📈 P&amp;L'!N20-'🏦 DEBT SCHEDULE'!N8</f>
        <v>19.318866684197133</v>
      </c>
      <c r="P29" s="69">
        <f>'📈 P&amp;L'!O26+'📈 P&amp;L'!O18-'📈 P&amp;L'!O20-'🏦 DEBT SCHEDULE'!O8</f>
        <v>2.7379038916569929</v>
      </c>
      <c r="Q29" s="69">
        <f>'📈 P&amp;L'!P26+'📈 P&amp;L'!P18-'📈 P&amp;L'!P20-'🏦 DEBT SCHEDULE'!P8</f>
        <v>0.67953953478983387</v>
      </c>
      <c r="R29" s="69">
        <f>'📈 P&amp;L'!Q26+'📈 P&amp;L'!Q18-'📈 P&amp;L'!Q20-'🏦 DEBT SCHEDULE'!Q8</f>
        <v>-1.43508274062666</v>
      </c>
      <c r="S29" s="69">
        <f>'📈 P&amp;L'!R26+'📈 P&amp;L'!R18-'📈 P&amp;L'!R20-'🏦 DEBT SCHEDULE'!R8</f>
        <v>-3.6097090365058815</v>
      </c>
      <c r="T29" s="69">
        <f>'📈 P&amp;L'!S26+'📈 P&amp;L'!S18-'📈 P&amp;L'!S20-'🏦 DEBT SCHEDULE'!S8</f>
        <v>-5.8482540957370954</v>
      </c>
      <c r="U29" s="69">
        <f>'📈 P&amp;L'!T26+'📈 P&amp;L'!T18-'📈 P&amp;L'!T20-'🏦 DEBT SCHEDULE'!T8</f>
        <v>-8.1548101075167576</v>
      </c>
      <c r="V29" s="69">
        <f>'📈 P&amp;L'!U26+'📈 P&amp;L'!U18-'📈 P&amp;L'!U20-'🏦 DEBT SCHEDULE'!U8</f>
        <v>-10.533655945480552</v>
      </c>
      <c r="W29" s="69">
        <f>'📈 P&amp;L'!V26+'📈 P&amp;L'!V18-'📈 P&amp;L'!V20-'🏦 DEBT SCHEDULE'!V8</f>
        <v>-12.989266860425756</v>
      </c>
    </row>
    <row r="30" spans="1:23" ht="15" customHeight="1" x14ac:dyDescent="0.25">
      <c r="A30" s="16" t="s">
        <v>377</v>
      </c>
      <c r="B30" s="56"/>
      <c r="C30" s="56">
        <f>C28</f>
        <v>-787.17379000000005</v>
      </c>
      <c r="D30" s="56">
        <f t="shared" ref="D30:W30" si="0">C30+D28</f>
        <v>-487.7447989749071</v>
      </c>
      <c r="E30" s="56">
        <f t="shared" si="0"/>
        <v>-454.30474115981411</v>
      </c>
      <c r="F30" s="56">
        <f t="shared" si="0"/>
        <v>-422.23899316552109</v>
      </c>
      <c r="G30" s="56">
        <f t="shared" si="0"/>
        <v>-391.56269383436211</v>
      </c>
      <c r="H30" s="56">
        <f t="shared" si="0"/>
        <v>-362.29281048376191</v>
      </c>
      <c r="I30" s="56">
        <f t="shared" si="0"/>
        <v>-334.44820889933123</v>
      </c>
      <c r="J30" s="56">
        <f t="shared" si="0"/>
        <v>-308.04972725622969</v>
      </c>
      <c r="K30" s="56">
        <f t="shared" si="0"/>
        <v>-283.12025415663777</v>
      </c>
      <c r="L30" s="56">
        <f t="shared" si="0"/>
        <v>-259.68481098074278</v>
      </c>
      <c r="M30" s="56">
        <f t="shared" si="0"/>
        <v>-237.77063875868109</v>
      </c>
      <c r="N30" s="56">
        <f t="shared" si="0"/>
        <v>-209.38485317146026</v>
      </c>
      <c r="O30" s="56">
        <f t="shared" si="0"/>
        <v>-182.68566719188306</v>
      </c>
      <c r="P30" s="56">
        <f t="shared" si="0"/>
        <v>-168.39401566996364</v>
      </c>
      <c r="Q30" s="56">
        <f t="shared" si="0"/>
        <v>-155.64263819628792</v>
      </c>
      <c r="R30" s="56">
        <f t="shared" si="0"/>
        <v>-144.47363257130635</v>
      </c>
      <c r="S30" s="56">
        <f t="shared" si="0"/>
        <v>-134.93189980353122</v>
      </c>
      <c r="T30" s="56">
        <f t="shared" si="0"/>
        <v>-127.0652703035788</v>
      </c>
      <c r="U30" s="56">
        <f t="shared" si="0"/>
        <v>-120.92463666724109</v>
      </c>
      <c r="V30" s="56">
        <f t="shared" si="0"/>
        <v>-116.56409337145169</v>
      </c>
      <c r="W30" s="56">
        <f t="shared" si="0"/>
        <v>-114.04108372331578</v>
      </c>
    </row>
    <row r="31" spans="1:23" ht="15" customHeight="1" x14ac:dyDescent="0.25">
      <c r="A31" s="16" t="s">
        <v>378</v>
      </c>
      <c r="B31" s="56"/>
      <c r="C31" s="56">
        <f>C28</f>
        <v>-787.17379000000005</v>
      </c>
      <c r="D31" s="56">
        <f>C31+D28/(1+$B$12)^1</f>
        <v>-513.68758422325197</v>
      </c>
      <c r="E31" s="56">
        <f>D31+E28/(1+$B$12)^2</f>
        <v>-485.79105470498382</v>
      </c>
      <c r="F31" s="56">
        <f>E31+F28/(1+$B$12)^3</f>
        <v>-461.35865567382046</v>
      </c>
      <c r="G31" s="56">
        <f>F31+G28/(1+$B$12)^4</f>
        <v>-440.01006139978495</v>
      </c>
      <c r="H31" s="56">
        <f>G31+H28/(1+$B$12)^5</f>
        <v>-421.40509510400551</v>
      </c>
      <c r="I31" s="56">
        <f>H31+I28/(1+$B$12)^6</f>
        <v>-405.23954517406025</v>
      </c>
      <c r="J31" s="56">
        <f>I31+J28/(1+$B$12)^7</f>
        <v>-391.24141581146733</v>
      </c>
      <c r="K31" s="56">
        <f>J31+K28/(1+$B$12)^8</f>
        <v>-379.16756700769236</v>
      </c>
      <c r="L31" s="56">
        <f>K31+L28/(1+$B$12)^9</f>
        <v>-368.80070343247542</v>
      </c>
      <c r="M31" s="56">
        <f>L31+M28/(1+$B$12)^10</f>
        <v>-359.9466760179414</v>
      </c>
      <c r="N31" s="56">
        <f>M31+N28/(1+$B$12)^11</f>
        <v>-349.47157332913588</v>
      </c>
      <c r="O31" s="56">
        <f>N31+O28/(1+$B$12)^12</f>
        <v>-340.47251698796737</v>
      </c>
      <c r="P31" s="56">
        <f>O31+P28/(1+$B$12)^13</f>
        <v>-336.07281817200555</v>
      </c>
      <c r="Q31" s="56">
        <f>P31+Q28/(1+$B$12)^14</f>
        <v>-332.48740498996216</v>
      </c>
      <c r="R31" s="56">
        <f>Q31+R28/(1+$B$12)^15</f>
        <v>-329.61901500461215</v>
      </c>
      <c r="S31" s="56">
        <f>R31+S28/(1+$B$12)^16</f>
        <v>-327.38084785927219</v>
      </c>
      <c r="T31" s="56">
        <f>S31+T28/(1+$B$12)^17</f>
        <v>-325.69547675890135</v>
      </c>
      <c r="U31" s="56">
        <f>T31+U28/(1+$B$12)^18</f>
        <v>-324.49387207473558</v>
      </c>
      <c r="V31" s="56">
        <f>U31+V28/(1+$B$12)^19</f>
        <v>-323.71452554198265</v>
      </c>
      <c r="W31" s="56">
        <f>V31+W28/(1+$B$12)^20</f>
        <v>-323.30266470746409</v>
      </c>
    </row>
    <row r="34" spans="1:3" ht="15" customHeight="1" x14ac:dyDescent="0.25">
      <c r="A34" s="144" t="s">
        <v>379</v>
      </c>
      <c r="B34" s="144"/>
      <c r="C34" s="144"/>
    </row>
  </sheetData>
  <mergeCells count="9">
    <mergeCell ref="A21:C21"/>
    <mergeCell ref="A22:C22"/>
    <mergeCell ref="A26:C26"/>
    <mergeCell ref="A34:C34"/>
    <mergeCell ref="A1:C1"/>
    <mergeCell ref="A2:C2"/>
    <mergeCell ref="A3:C3"/>
    <mergeCell ref="A14:C14"/>
    <mergeCell ref="A15:C15"/>
  </mergeCells>
  <pageMargins left="0.75" right="0.75" top="1" bottom="1" header="0.511811023622047" footer="0.511811023622047"/>
  <pageSetup paperSize="9"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2B21"/>
  </sheetPr>
  <dimension ref="A1:G24"/>
  <sheetViews>
    <sheetView zoomScaleNormal="100" workbookViewId="0">
      <pane ySplit="3" topLeftCell="A4" activePane="bottomLeft" state="frozen"/>
      <selection pane="bottomLeft" sqref="A1:G1"/>
    </sheetView>
  </sheetViews>
  <sheetFormatPr defaultColWidth="8.7109375" defaultRowHeight="15" x14ac:dyDescent="0.25"/>
  <cols>
    <col min="1" max="1" width="32" customWidth="1"/>
    <col min="2" max="5" width="14" customWidth="1"/>
    <col min="6" max="6" width="16" customWidth="1"/>
    <col min="7" max="7" width="30" customWidth="1"/>
  </cols>
  <sheetData>
    <row r="1" spans="1:7" ht="30" customHeight="1" x14ac:dyDescent="0.25">
      <c r="A1" s="140" t="s">
        <v>380</v>
      </c>
      <c r="B1" s="140"/>
      <c r="C1" s="140"/>
      <c r="D1" s="140"/>
      <c r="E1" s="140"/>
      <c r="F1" s="140"/>
      <c r="G1" s="140"/>
    </row>
    <row r="2" spans="1:7" ht="15" customHeight="1" x14ac:dyDescent="0.25">
      <c r="A2" s="141" t="s">
        <v>381</v>
      </c>
      <c r="B2" s="141"/>
      <c r="C2" s="141"/>
      <c r="D2" s="141"/>
      <c r="E2" s="141"/>
      <c r="F2" s="141"/>
      <c r="G2" s="141"/>
    </row>
    <row r="3" spans="1:7" ht="21.75" customHeight="1" x14ac:dyDescent="0.25">
      <c r="A3" s="156" t="s">
        <v>382</v>
      </c>
      <c r="B3" s="156"/>
      <c r="C3" s="156"/>
      <c r="D3" s="156"/>
      <c r="E3" s="156"/>
      <c r="F3" s="156"/>
      <c r="G3" s="156"/>
    </row>
    <row r="4" spans="1:7" ht="21.75" customHeight="1" x14ac:dyDescent="0.25">
      <c r="A4" s="14" t="s">
        <v>383</v>
      </c>
      <c r="B4" s="105">
        <f>'📋 ASSUMPTIONS'!$B$42</f>
        <v>21.3</v>
      </c>
      <c r="C4" s="33"/>
      <c r="D4" s="33"/>
      <c r="E4" s="33"/>
      <c r="F4" s="33"/>
      <c r="G4" s="33"/>
    </row>
    <row r="5" spans="1:7" ht="21.75" customHeight="1" x14ac:dyDescent="0.25">
      <c r="A5" s="42" t="s">
        <v>384</v>
      </c>
      <c r="B5" s="90">
        <f>'🎯 DSCR &amp; DEBT SERVICE'!D4</f>
        <v>32.111191735000006</v>
      </c>
      <c r="C5" s="40"/>
      <c r="D5" s="40"/>
      <c r="E5" s="40"/>
      <c r="F5" s="40"/>
      <c r="G5" s="40"/>
    </row>
    <row r="6" spans="1:7" ht="15" customHeight="1" x14ac:dyDescent="0.25">
      <c r="A6" s="42" t="s">
        <v>385</v>
      </c>
      <c r="B6" s="90">
        <f>'📊 REVENUE MODEL'!D11</f>
        <v>51.141300000000001</v>
      </c>
      <c r="C6" s="40"/>
      <c r="D6" s="40"/>
      <c r="E6" s="40"/>
      <c r="F6" s="40"/>
      <c r="G6" s="40"/>
    </row>
    <row r="7" spans="1:7" ht="15" customHeight="1" x14ac:dyDescent="0.25">
      <c r="A7" s="68" t="s">
        <v>386</v>
      </c>
      <c r="B7" s="86">
        <f>'🎯 DSCR &amp; DEBT SERVICE'!D7</f>
        <v>80.880195242954557</v>
      </c>
      <c r="C7" s="20"/>
      <c r="D7" s="20"/>
      <c r="E7" s="20"/>
      <c r="F7" s="20"/>
      <c r="G7" s="20"/>
    </row>
    <row r="8" spans="1:7" ht="15" customHeight="1" x14ac:dyDescent="0.25">
      <c r="A8" s="95" t="s">
        <v>387</v>
      </c>
      <c r="B8" s="117">
        <v>1.2</v>
      </c>
      <c r="C8" s="53"/>
      <c r="D8" s="53"/>
      <c r="E8" s="53"/>
      <c r="F8" s="53"/>
      <c r="G8" s="53"/>
    </row>
    <row r="9" spans="1:7" ht="21.75" customHeight="1" x14ac:dyDescent="0.25">
      <c r="A9" s="14" t="s">
        <v>388</v>
      </c>
      <c r="B9" s="72">
        <f>B8*B7</f>
        <v>97.056234291545465</v>
      </c>
      <c r="C9" s="33"/>
      <c r="D9" s="33"/>
      <c r="E9" s="33"/>
      <c r="F9" s="33"/>
      <c r="G9" s="33"/>
    </row>
    <row r="10" spans="1:7" ht="15" customHeight="1" x14ac:dyDescent="0.25">
      <c r="A10" s="14" t="s">
        <v>389</v>
      </c>
      <c r="B10" s="72">
        <f>B9-B5</f>
        <v>64.945042556545459</v>
      </c>
      <c r="C10" s="33"/>
      <c r="D10" s="33"/>
      <c r="E10" s="33"/>
      <c r="F10" s="33"/>
      <c r="G10" s="33"/>
    </row>
    <row r="11" spans="1:7" ht="15" customHeight="1" x14ac:dyDescent="0.25">
      <c r="A11" s="45" t="s">
        <v>390</v>
      </c>
      <c r="B11" s="64">
        <f>B6+B10</f>
        <v>116.08634255654546</v>
      </c>
      <c r="C11" s="48"/>
      <c r="D11" s="48"/>
      <c r="E11" s="48"/>
      <c r="F11" s="48"/>
      <c r="G11" s="48"/>
    </row>
    <row r="12" spans="1:7" ht="15" customHeight="1" x14ac:dyDescent="0.25">
      <c r="A12" s="45" t="s">
        <v>391</v>
      </c>
      <c r="B12" s="118">
        <f>B11/B6</f>
        <v>2.2699137987604043</v>
      </c>
      <c r="C12" s="48"/>
      <c r="D12" s="48"/>
      <c r="E12" s="48"/>
      <c r="F12" s="48"/>
      <c r="G12" s="48"/>
    </row>
    <row r="13" spans="1:7" ht="36.75" customHeight="1" x14ac:dyDescent="0.25">
      <c r="A13" s="93" t="s">
        <v>392</v>
      </c>
      <c r="B13" s="119">
        <f>B4*B12</f>
        <v>48.349163913596612</v>
      </c>
      <c r="C13" s="101"/>
      <c r="D13" s="101"/>
      <c r="E13" s="101"/>
      <c r="F13" s="101"/>
      <c r="G13" s="101"/>
    </row>
    <row r="15" spans="1:7" ht="21.75" customHeight="1" x14ac:dyDescent="0.25">
      <c r="A15" s="143" t="s">
        <v>393</v>
      </c>
      <c r="B15" s="143"/>
      <c r="C15" s="143"/>
      <c r="D15" s="143"/>
      <c r="E15" s="143"/>
      <c r="F15" s="143"/>
      <c r="G15" s="143"/>
    </row>
    <row r="16" spans="1:7" ht="19.5" customHeight="1" x14ac:dyDescent="0.25">
      <c r="A16" s="13" t="s">
        <v>394</v>
      </c>
      <c r="B16" s="13" t="s">
        <v>395</v>
      </c>
      <c r="C16" s="13" t="s">
        <v>396</v>
      </c>
      <c r="D16" s="13" t="s">
        <v>397</v>
      </c>
      <c r="E16" s="13" t="s">
        <v>398</v>
      </c>
      <c r="F16" s="13" t="s">
        <v>399</v>
      </c>
      <c r="G16" s="13" t="s">
        <v>400</v>
      </c>
    </row>
    <row r="17" spans="1:7" ht="15" customHeight="1" x14ac:dyDescent="0.25">
      <c r="A17" s="14" t="s">
        <v>401</v>
      </c>
      <c r="B17" s="120">
        <v>0</v>
      </c>
      <c r="C17" s="120">
        <v>0</v>
      </c>
      <c r="D17" s="120">
        <v>0</v>
      </c>
      <c r="E17" s="121">
        <v>0</v>
      </c>
      <c r="F17" s="122">
        <f>IFERROR((('📊 REVENUE MODEL'!D11*(1+0))-('💸 OPEX SCHEDULE'!D8*(1+0)))/('🎯 DSCR &amp; DEBT SERVICE'!D7*(1+0)*(1+0/'📋 ASSUMPTIONS'!$B$34)),0)</f>
        <v>0.39702168916063785</v>
      </c>
      <c r="G17" s="77" t="str">
        <f t="shared" ref="G17:G22" si="0">IF(F17&gt;=1.2,"✅ Bankable",IF(F17&gt;=1,"⚠ Tight","🔴 Not Bankable"))</f>
        <v>🔴 Not Bankable</v>
      </c>
    </row>
    <row r="18" spans="1:7" ht="15" customHeight="1" x14ac:dyDescent="0.25">
      <c r="A18" s="14" t="s">
        <v>402</v>
      </c>
      <c r="B18" s="120">
        <v>0.1</v>
      </c>
      <c r="C18" s="120">
        <v>0</v>
      </c>
      <c r="D18" s="120">
        <v>0</v>
      </c>
      <c r="E18" s="121">
        <v>0</v>
      </c>
      <c r="F18" s="122">
        <f>IFERROR((('📊 REVENUE MODEL'!D11*(1+0))-('💸 OPEX SCHEDULE'!D8*(1+0)))/('🎯 DSCR &amp; DEBT SERVICE'!D7*(1+0.1)*(1+0/'📋 ASSUMPTIONS'!$B$34)),0)</f>
        <v>0.36092880832785257</v>
      </c>
      <c r="G18" s="77" t="str">
        <f t="shared" si="0"/>
        <v>🔴 Not Bankable</v>
      </c>
    </row>
    <row r="19" spans="1:7" ht="15" customHeight="1" x14ac:dyDescent="0.25">
      <c r="A19" s="14" t="s">
        <v>403</v>
      </c>
      <c r="B19" s="120">
        <v>0</v>
      </c>
      <c r="C19" s="120">
        <v>-0.1</v>
      </c>
      <c r="D19" s="120">
        <v>0</v>
      </c>
      <c r="E19" s="121">
        <v>0</v>
      </c>
      <c r="F19" s="122">
        <f>IFERROR((('📊 REVENUE MODEL'!D11*(1+-0.1))-('💸 OPEX SCHEDULE'!D8*(1+0)))/('🎯 DSCR &amp; DEBT SERVICE'!D7*(1+0)*(1+0/'📋 ASSUMPTIONS'!$B$34)),0)</f>
        <v>0.33379075871298308</v>
      </c>
      <c r="G19" s="77" t="str">
        <f t="shared" si="0"/>
        <v>🔴 Not Bankable</v>
      </c>
    </row>
    <row r="20" spans="1:7" ht="15" customHeight="1" x14ac:dyDescent="0.25">
      <c r="A20" s="14" t="s">
        <v>404</v>
      </c>
      <c r="B20" s="120">
        <v>0</v>
      </c>
      <c r="C20" s="120">
        <v>0</v>
      </c>
      <c r="D20" s="120">
        <v>0.15</v>
      </c>
      <c r="E20" s="121">
        <v>0</v>
      </c>
      <c r="F20" s="122">
        <f>IFERROR((('📊 REVENUE MODEL'!D11*(1+0))-('💸 OPEX SCHEDULE'!D8*(1+0.15)))/('🎯 DSCR &amp; DEBT SERVICE'!D7*(1+0)*(1+0/'📋 ASSUMPTIONS'!$B$34)),0)</f>
        <v>0.36172854686325134</v>
      </c>
      <c r="G20" s="77" t="str">
        <f t="shared" si="0"/>
        <v>🔴 Not Bankable</v>
      </c>
    </row>
    <row r="21" spans="1:7" ht="15" customHeight="1" x14ac:dyDescent="0.25">
      <c r="A21" s="14" t="s">
        <v>405</v>
      </c>
      <c r="B21" s="120">
        <v>0</v>
      </c>
      <c r="C21" s="120">
        <v>0</v>
      </c>
      <c r="D21" s="120">
        <v>0</v>
      </c>
      <c r="E21" s="121">
        <v>0.01</v>
      </c>
      <c r="F21" s="122">
        <f>IFERROR((('📊 REVENUE MODEL'!D11*(1+0))-('💸 OPEX SCHEDULE'!D8*(1+0)))/('🎯 DSCR &amp; DEBT SERVICE'!D7*(1+0)*(1+0.01/'📋 ASSUMPTIONS'!$B$34)),0)</f>
        <v>0.36323260923207296</v>
      </c>
      <c r="G21" s="77" t="str">
        <f t="shared" si="0"/>
        <v>🔴 Not Bankable</v>
      </c>
    </row>
    <row r="22" spans="1:7" ht="15" customHeight="1" x14ac:dyDescent="0.25">
      <c r="A22" s="14" t="s">
        <v>406</v>
      </c>
      <c r="B22" s="120">
        <v>0.1</v>
      </c>
      <c r="C22" s="120">
        <v>-0.1</v>
      </c>
      <c r="D22" s="120">
        <v>0.15</v>
      </c>
      <c r="E22" s="121">
        <v>0.01</v>
      </c>
      <c r="F22" s="122">
        <f>IFERROR((('📊 REVENUE MODEL'!D11*(1+-0.1))-('💸 OPEX SCHEDULE'!D8*(1+0.15)))/('🎯 DSCR &amp; DEBT SERVICE'!D7*(1+0.1)*(1+0.01/'📋 ASSUMPTIONS'!$B$34)),0)</f>
        <v>0.24826687632244979</v>
      </c>
      <c r="G22" s="77" t="str">
        <f t="shared" si="0"/>
        <v>🔴 Not Bankable</v>
      </c>
    </row>
    <row r="24" spans="1:7" ht="15" customHeight="1" x14ac:dyDescent="0.25">
      <c r="A24" s="144" t="s">
        <v>407</v>
      </c>
      <c r="B24" s="144"/>
      <c r="C24" s="144"/>
      <c r="D24" s="144"/>
      <c r="E24" s="144"/>
      <c r="F24" s="144"/>
      <c r="G24" s="144"/>
    </row>
  </sheetData>
  <mergeCells count="5">
    <mergeCell ref="A1:G1"/>
    <mergeCell ref="A2:G2"/>
    <mergeCell ref="A3:G3"/>
    <mergeCell ref="A15:G15"/>
    <mergeCell ref="A24:G24"/>
  </mergeCells>
  <pageMargins left="0.75" right="0.75" top="1" bottom="1" header="0.511811023622047" footer="0.511811023622047"/>
  <pageSetup paperSize="9"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4AC0D"/>
  </sheetPr>
  <dimension ref="A1:C31"/>
  <sheetViews>
    <sheetView zoomScaleNormal="100" workbookViewId="0">
      <pane ySplit="3" topLeftCell="A22" activePane="bottomLeft" state="frozen"/>
      <selection pane="bottomLeft" activeCell="B24" sqref="B24"/>
    </sheetView>
  </sheetViews>
  <sheetFormatPr defaultColWidth="8.7109375" defaultRowHeight="15" x14ac:dyDescent="0.25"/>
  <cols>
    <col min="1" max="1" width="36" customWidth="1"/>
    <col min="2" max="3" width="30" customWidth="1"/>
  </cols>
  <sheetData>
    <row r="1" spans="1:3" ht="30" customHeight="1" x14ac:dyDescent="0.25">
      <c r="A1" s="163" t="s">
        <v>522</v>
      </c>
      <c r="B1" s="140"/>
      <c r="C1" s="140"/>
    </row>
    <row r="3" spans="1:3" ht="21.75" customHeight="1" x14ac:dyDescent="0.25">
      <c r="A3" s="154" t="s">
        <v>408</v>
      </c>
      <c r="B3" s="154"/>
      <c r="C3" s="154"/>
    </row>
    <row r="4" spans="1:3" ht="18.75" customHeight="1" x14ac:dyDescent="0.25">
      <c r="A4" s="14" t="s">
        <v>409</v>
      </c>
      <c r="B4" s="90">
        <f>'💰 CAPEX &amp; MOF'!$B$17</f>
        <v>787.17379000000005</v>
      </c>
      <c r="C4" s="33"/>
    </row>
    <row r="5" spans="1:3" ht="18.75" customHeight="1" x14ac:dyDescent="0.25">
      <c r="A5" s="14" t="s">
        <v>410</v>
      </c>
      <c r="B5" s="90">
        <f>'💰 CAPEX &amp; MOF'!$B$30</f>
        <v>264.62799999999999</v>
      </c>
      <c r="C5" s="33"/>
    </row>
    <row r="6" spans="1:3" ht="18.75" customHeight="1" x14ac:dyDescent="0.25">
      <c r="A6" s="14" t="s">
        <v>411</v>
      </c>
      <c r="B6" s="90">
        <f>'💰 CAPEX &amp; MOF'!$B$23</f>
        <v>551.02165300000001</v>
      </c>
      <c r="C6" s="33"/>
    </row>
    <row r="7" spans="1:3" ht="18.75" customHeight="1" x14ac:dyDescent="0.25">
      <c r="A7" s="14" t="s">
        <v>412</v>
      </c>
      <c r="B7" s="90">
        <f>'💰 CAPEX &amp; MOF'!$B$24</f>
        <v>236.15213700000004</v>
      </c>
      <c r="C7" s="33"/>
    </row>
    <row r="8" spans="1:3" ht="18.75" customHeight="1" x14ac:dyDescent="0.25">
      <c r="A8" s="14" t="s">
        <v>413</v>
      </c>
      <c r="B8" s="123">
        <f>'📋 ASSUMPTIONS'!$B$33</f>
        <v>0.7</v>
      </c>
      <c r="C8" s="33"/>
    </row>
    <row r="9" spans="1:3" ht="18.75" customHeight="1" x14ac:dyDescent="0.25">
      <c r="A9" s="14" t="s">
        <v>414</v>
      </c>
      <c r="B9" s="124">
        <f>'💰 CAPEX &amp; MOF'!$B$19</f>
        <v>1.5743475800000002</v>
      </c>
      <c r="C9" s="33"/>
    </row>
    <row r="11" spans="1:3" ht="21.75" customHeight="1" x14ac:dyDescent="0.25">
      <c r="A11" s="156" t="s">
        <v>415</v>
      </c>
      <c r="B11" s="156"/>
      <c r="C11" s="156"/>
    </row>
    <row r="12" spans="1:3" ht="18.75" customHeight="1" x14ac:dyDescent="0.25">
      <c r="A12" s="14" t="s">
        <v>416</v>
      </c>
      <c r="B12" s="125">
        <f>'📐 RETURNS &amp; WACC'!$B$7</f>
        <v>0.1285</v>
      </c>
      <c r="C12" s="33"/>
    </row>
    <row r="13" spans="1:3" ht="18.75" customHeight="1" x14ac:dyDescent="0.25">
      <c r="A13" s="14" t="s">
        <v>417</v>
      </c>
      <c r="B13" s="125">
        <f>'📐 RETURNS &amp; WACC'!$B$9</f>
        <v>8.0442249999999993E-2</v>
      </c>
      <c r="C13" s="33"/>
    </row>
    <row r="14" spans="1:3" ht="18.75" customHeight="1" x14ac:dyDescent="0.25">
      <c r="A14" s="14" t="s">
        <v>418</v>
      </c>
      <c r="B14" s="125">
        <f>'📐 RETURNS &amp; WACC'!$B$12</f>
        <v>9.4859575000000002E-2</v>
      </c>
      <c r="C14" s="33"/>
    </row>
    <row r="16" spans="1:3" ht="21.75" customHeight="1" x14ac:dyDescent="0.25">
      <c r="A16" s="143" t="s">
        <v>419</v>
      </c>
      <c r="B16" s="143"/>
      <c r="C16" s="143"/>
    </row>
    <row r="17" spans="1:3" ht="15" customHeight="1" x14ac:dyDescent="0.25">
      <c r="A17" s="126" t="s">
        <v>326</v>
      </c>
      <c r="B17" s="127">
        <f>'🎯 DSCR &amp; DEBT SERVICE'!$B$12</f>
        <v>0.39702168916063785</v>
      </c>
      <c r="C17" s="128" t="str">
        <f>IF(B17&gt;=1.2,"✅ Meets typical lender floor (1.20x)","🔴 Below typical lender floor (1.20x)")</f>
        <v>🔴 Below typical lender floor (1.20x)</v>
      </c>
    </row>
    <row r="18" spans="1:3" ht="15" customHeight="1" x14ac:dyDescent="0.25">
      <c r="A18" s="126" t="s">
        <v>327</v>
      </c>
      <c r="B18" s="127">
        <f>'🎯 DSCR &amp; DEBT SERVICE'!$B$13</f>
        <v>0.45311542535219301</v>
      </c>
      <c r="C18" s="129"/>
    </row>
    <row r="19" spans="1:3" ht="21.75" customHeight="1" x14ac:dyDescent="0.25">
      <c r="A19" s="97" t="s">
        <v>420</v>
      </c>
      <c r="B19" s="130">
        <f>'🔬 SENSITIVITY'!$B$13</f>
        <v>48.349163913596612</v>
      </c>
      <c r="C19" s="131" t="str">
        <f>"Current tariff: ₹"&amp;TEXT('📋 ASSUMPTIONS'!$B$42,"0.00")&amp;" Lakh/MW/yr"</f>
        <v>Current tariff: ₹21.30 Lakh/MW/yr</v>
      </c>
    </row>
    <row r="21" spans="1:3" ht="21.75" customHeight="1" x14ac:dyDescent="0.25">
      <c r="A21" s="142" t="s">
        <v>421</v>
      </c>
      <c r="B21" s="142"/>
      <c r="C21" s="142"/>
    </row>
    <row r="22" spans="1:3" ht="18.75" customHeight="1" x14ac:dyDescent="0.25">
      <c r="A22" s="14" t="s">
        <v>422</v>
      </c>
      <c r="B22" s="106">
        <f>'📐 RETURNS &amp; WACC'!$B$16</f>
        <v>-2.8379302582221211E-2</v>
      </c>
      <c r="C22" s="33"/>
    </row>
    <row r="23" spans="1:3" ht="18.75" customHeight="1" x14ac:dyDescent="0.25">
      <c r="A23" s="14" t="s">
        <v>343</v>
      </c>
      <c r="B23" s="64">
        <f>'📐 RETURNS &amp; WACC'!$B$17</f>
        <v>-323.3026647074642</v>
      </c>
      <c r="C23" s="33"/>
    </row>
    <row r="24" spans="1:3" ht="18.75" customHeight="1" x14ac:dyDescent="0.25">
      <c r="A24" s="14" t="s">
        <v>423</v>
      </c>
      <c r="B24" s="106" t="str">
        <f>'📐 RETURNS &amp; WACC'!$B$23</f>
        <v>N/A — cash flows do not converge</v>
      </c>
      <c r="C24" s="33"/>
    </row>
    <row r="25" spans="1:3" ht="18.75" customHeight="1" x14ac:dyDescent="0.25">
      <c r="A25" s="14" t="s">
        <v>351</v>
      </c>
      <c r="B25" s="64">
        <f>'📐 RETURNS &amp; WACC'!$B$24</f>
        <v>-373.57560116099393</v>
      </c>
      <c r="C25" s="33"/>
    </row>
    <row r="26" spans="1:3" ht="18.75" customHeight="1" x14ac:dyDescent="0.25">
      <c r="A26" s="14" t="s">
        <v>424</v>
      </c>
      <c r="B26" s="132" t="str">
        <f>'📐 RETURNS &amp; WACC'!$B$18</f>
        <v>&gt; 20 yrs (No payback)</v>
      </c>
      <c r="C26" s="33"/>
    </row>
    <row r="28" spans="1:3" ht="21.75" customHeight="1" x14ac:dyDescent="0.25">
      <c r="A28" s="161" t="s">
        <v>425</v>
      </c>
      <c r="B28" s="161"/>
      <c r="C28" s="161"/>
    </row>
    <row r="29" spans="1:3" ht="36" customHeight="1" x14ac:dyDescent="0.25">
      <c r="A29" s="162" t="str">
        <f>IF('🎯 DSCR &amp; DEBT SERVICE'!$B$12&gt;=1.2,"✅ BANKABLE at current assumptions","🔴 NOT BANKABLE at current assumptions — Min DSCR is below the 1.20x floor most lenders require. See Sensitivity sheet for the tariff/capex level needed to reach bankability.")</f>
        <v>🔴 NOT BANKABLE at current assumptions — Min DSCR is below the 1.20x floor most lenders require. See Sensitivity sheet for the tariff/capex level needed to reach bankability.</v>
      </c>
      <c r="B29" s="162"/>
      <c r="C29" s="162"/>
    </row>
    <row r="31" spans="1:3" ht="15" customHeight="1" x14ac:dyDescent="0.25">
      <c r="A31" s="144" t="s">
        <v>426</v>
      </c>
      <c r="B31" s="144"/>
      <c r="C31" s="144"/>
    </row>
  </sheetData>
  <mergeCells count="8">
    <mergeCell ref="A28:C28"/>
    <mergeCell ref="A29:C29"/>
    <mergeCell ref="A31:C31"/>
    <mergeCell ref="A1:C1"/>
    <mergeCell ref="A3:C3"/>
    <mergeCell ref="A11:C11"/>
    <mergeCell ref="A16:C16"/>
    <mergeCell ref="A21:C21"/>
  </mergeCells>
  <pageMargins left="0.75" right="0.75" top="1" bottom="1"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E86C1"/>
  </sheetPr>
  <dimension ref="A1:B44"/>
  <sheetViews>
    <sheetView tabSelected="1" topLeftCell="A16" zoomScaleNormal="100" workbookViewId="0">
      <selection sqref="A1:B22"/>
    </sheetView>
  </sheetViews>
  <sheetFormatPr defaultColWidth="8.7109375" defaultRowHeight="15" x14ac:dyDescent="0.25"/>
  <cols>
    <col min="1" max="1" width="6" customWidth="1"/>
    <col min="2" max="2" width="90" customWidth="1"/>
  </cols>
  <sheetData>
    <row r="1" spans="1:2" ht="30" customHeight="1" x14ac:dyDescent="0.25">
      <c r="A1" s="140" t="s">
        <v>427</v>
      </c>
      <c r="B1" s="140"/>
    </row>
    <row r="3" spans="1:2" ht="19.5" customHeight="1" x14ac:dyDescent="0.25">
      <c r="A3" s="167" t="s">
        <v>428</v>
      </c>
      <c r="B3" s="167"/>
    </row>
    <row r="4" spans="1:2" ht="43.5" customHeight="1" x14ac:dyDescent="0.25">
      <c r="A4" s="165" t="s">
        <v>429</v>
      </c>
      <c r="B4" s="165"/>
    </row>
    <row r="6" spans="1:2" ht="19.5" customHeight="1" x14ac:dyDescent="0.25">
      <c r="A6" s="164" t="s">
        <v>430</v>
      </c>
      <c r="B6" s="164"/>
    </row>
    <row r="7" spans="1:2" ht="19.5" customHeight="1" x14ac:dyDescent="0.25">
      <c r="A7" s="154" t="s">
        <v>431</v>
      </c>
      <c r="B7" s="154"/>
    </row>
    <row r="8" spans="1:2" ht="43.5" customHeight="1" x14ac:dyDescent="0.25">
      <c r="A8" s="165" t="s">
        <v>432</v>
      </c>
      <c r="B8" s="165"/>
    </row>
    <row r="9" spans="1:2" ht="19.5" customHeight="1" x14ac:dyDescent="0.25">
      <c r="A9" s="154" t="s">
        <v>433</v>
      </c>
      <c r="B9" s="154"/>
    </row>
    <row r="10" spans="1:2" ht="43.5" customHeight="1" x14ac:dyDescent="0.25">
      <c r="A10" s="165" t="s">
        <v>434</v>
      </c>
      <c r="B10" s="165"/>
    </row>
    <row r="11" spans="1:2" ht="19.5" customHeight="1" x14ac:dyDescent="0.25">
      <c r="A11" s="154" t="s">
        <v>435</v>
      </c>
      <c r="B11" s="154"/>
    </row>
    <row r="12" spans="1:2" ht="43.5" customHeight="1" x14ac:dyDescent="0.25">
      <c r="A12" s="165" t="s">
        <v>436</v>
      </c>
      <c r="B12" s="165"/>
    </row>
    <row r="13" spans="1:2" ht="19.5" customHeight="1" x14ac:dyDescent="0.25">
      <c r="A13" s="154" t="s">
        <v>437</v>
      </c>
      <c r="B13" s="154"/>
    </row>
    <row r="14" spans="1:2" ht="43.5" customHeight="1" x14ac:dyDescent="0.25">
      <c r="A14" s="165" t="s">
        <v>438</v>
      </c>
      <c r="B14" s="165"/>
    </row>
    <row r="15" spans="1:2" ht="19.5" customHeight="1" x14ac:dyDescent="0.25">
      <c r="A15" s="154" t="s">
        <v>439</v>
      </c>
      <c r="B15" s="154"/>
    </row>
    <row r="16" spans="1:2" ht="43.5" customHeight="1" x14ac:dyDescent="0.25">
      <c r="A16" s="165" t="s">
        <v>440</v>
      </c>
      <c r="B16" s="165"/>
    </row>
    <row r="17" spans="1:2" ht="19.5" customHeight="1" x14ac:dyDescent="0.25">
      <c r="A17" s="154" t="s">
        <v>441</v>
      </c>
      <c r="B17" s="154"/>
    </row>
    <row r="18" spans="1:2" ht="43.5" customHeight="1" x14ac:dyDescent="0.25">
      <c r="A18" s="165" t="s">
        <v>442</v>
      </c>
      <c r="B18" s="165"/>
    </row>
    <row r="19" spans="1:2" ht="19.5" customHeight="1" x14ac:dyDescent="0.25">
      <c r="A19" s="154" t="s">
        <v>443</v>
      </c>
      <c r="B19" s="154"/>
    </row>
    <row r="20" spans="1:2" ht="43.5" customHeight="1" x14ac:dyDescent="0.25">
      <c r="A20" s="165" t="s">
        <v>444</v>
      </c>
      <c r="B20" s="165"/>
    </row>
    <row r="21" spans="1:2" ht="19.5" customHeight="1" x14ac:dyDescent="0.25">
      <c r="A21" s="154" t="s">
        <v>445</v>
      </c>
      <c r="B21" s="154"/>
    </row>
    <row r="22" spans="1:2" ht="43.5" customHeight="1" x14ac:dyDescent="0.25">
      <c r="A22" s="165" t="s">
        <v>446</v>
      </c>
      <c r="B22" s="165"/>
    </row>
    <row r="24" spans="1:2" ht="19.5" customHeight="1" x14ac:dyDescent="0.25">
      <c r="A24" s="164" t="s">
        <v>447</v>
      </c>
      <c r="B24" s="164"/>
    </row>
    <row r="25" spans="1:2" ht="43.5" customHeight="1" x14ac:dyDescent="0.25">
      <c r="A25" s="165" t="s">
        <v>448</v>
      </c>
      <c r="B25" s="165"/>
    </row>
    <row r="26" spans="1:2" ht="43.5" customHeight="1" x14ac:dyDescent="0.25">
      <c r="A26" s="165" t="s">
        <v>449</v>
      </c>
      <c r="B26" s="165"/>
    </row>
    <row r="27" spans="1:2" ht="43.5" customHeight="1" x14ac:dyDescent="0.25">
      <c r="A27" s="165" t="s">
        <v>450</v>
      </c>
      <c r="B27" s="165"/>
    </row>
    <row r="28" spans="1:2" ht="43.5" customHeight="1" x14ac:dyDescent="0.25">
      <c r="A28" s="165" t="s">
        <v>451</v>
      </c>
      <c r="B28" s="165"/>
    </row>
    <row r="29" spans="1:2" ht="43.5" customHeight="1" x14ac:dyDescent="0.25">
      <c r="A29" s="165" t="s">
        <v>452</v>
      </c>
      <c r="B29" s="165"/>
    </row>
    <row r="30" spans="1:2" ht="43.5" customHeight="1" x14ac:dyDescent="0.25">
      <c r="A30" s="165" t="s">
        <v>453</v>
      </c>
      <c r="B30" s="165"/>
    </row>
    <row r="32" spans="1:2" ht="19.5" customHeight="1" x14ac:dyDescent="0.25">
      <c r="A32" s="164" t="s">
        <v>454</v>
      </c>
      <c r="B32" s="164"/>
    </row>
    <row r="33" spans="1:2" ht="43.5" customHeight="1" x14ac:dyDescent="0.25">
      <c r="A33" s="165" t="s">
        <v>455</v>
      </c>
      <c r="B33" s="165"/>
    </row>
    <row r="34" spans="1:2" ht="43.5" customHeight="1" x14ac:dyDescent="0.25">
      <c r="A34" s="165" t="s">
        <v>456</v>
      </c>
      <c r="B34" s="165"/>
    </row>
    <row r="35" spans="1:2" ht="43.5" customHeight="1" x14ac:dyDescent="0.25">
      <c r="A35" s="165" t="s">
        <v>457</v>
      </c>
      <c r="B35" s="165"/>
    </row>
    <row r="36" spans="1:2" ht="43.5" customHeight="1" x14ac:dyDescent="0.25">
      <c r="A36" s="165" t="s">
        <v>458</v>
      </c>
      <c r="B36" s="165"/>
    </row>
    <row r="37" spans="1:2" ht="43.5" customHeight="1" x14ac:dyDescent="0.25">
      <c r="A37" s="165" t="s">
        <v>459</v>
      </c>
      <c r="B37" s="165"/>
    </row>
    <row r="38" spans="1:2" ht="43.5" customHeight="1" x14ac:dyDescent="0.25">
      <c r="A38" s="165" t="s">
        <v>460</v>
      </c>
      <c r="B38" s="165"/>
    </row>
    <row r="39" spans="1:2" ht="43.5" customHeight="1" x14ac:dyDescent="0.25">
      <c r="A39" s="165" t="s">
        <v>461</v>
      </c>
      <c r="B39" s="165"/>
    </row>
    <row r="41" spans="1:2" ht="19.5" customHeight="1" x14ac:dyDescent="0.25">
      <c r="A41" s="164" t="s">
        <v>462</v>
      </c>
      <c r="B41" s="164"/>
    </row>
    <row r="42" spans="1:2" ht="43.5" customHeight="1" x14ac:dyDescent="0.25">
      <c r="A42" s="165" t="s">
        <v>463</v>
      </c>
      <c r="B42" s="165"/>
    </row>
    <row r="44" spans="1:2" ht="15.75" customHeight="1" x14ac:dyDescent="0.25">
      <c r="A44" s="166" t="s">
        <v>464</v>
      </c>
      <c r="B44" s="166"/>
    </row>
  </sheetData>
  <mergeCells count="38">
    <mergeCell ref="A1:B1"/>
    <mergeCell ref="A3:B3"/>
    <mergeCell ref="A4:B4"/>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4:B24"/>
    <mergeCell ref="A25:B25"/>
    <mergeCell ref="A26:B26"/>
    <mergeCell ref="A27:B27"/>
    <mergeCell ref="A28:B28"/>
    <mergeCell ref="A29:B29"/>
    <mergeCell ref="A30:B30"/>
    <mergeCell ref="A32:B32"/>
    <mergeCell ref="A33:B33"/>
    <mergeCell ref="A34:B34"/>
    <mergeCell ref="A41:B41"/>
    <mergeCell ref="A42:B42"/>
    <mergeCell ref="A44:B44"/>
    <mergeCell ref="A35:B35"/>
    <mergeCell ref="A36:B36"/>
    <mergeCell ref="A37:B37"/>
    <mergeCell ref="A38:B38"/>
    <mergeCell ref="A39:B39"/>
  </mergeCells>
  <pageMargins left="0.75" right="0.75" top="1" bottom="1"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B4F72"/>
  </sheetPr>
  <dimension ref="A1:V22"/>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6" customWidth="1"/>
    <col min="2" max="2" width="11" customWidth="1"/>
    <col min="3" max="22" width="10.5703125" customWidth="1"/>
  </cols>
  <sheetData>
    <row r="1" spans="1:22" ht="30" customHeight="1" x14ac:dyDescent="0.25">
      <c r="A1" s="140" t="s">
        <v>465</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466</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467</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5" customHeight="1" x14ac:dyDescent="0.25">
      <c r="A4" s="14" t="s">
        <v>468</v>
      </c>
      <c r="B4" s="33"/>
      <c r="C4" s="81">
        <f>'📈 P&amp;L'!C7</f>
        <v>52.185000000000002</v>
      </c>
      <c r="D4" s="81">
        <f>'📈 P&amp;L'!D7</f>
        <v>51.141300000000001</v>
      </c>
      <c r="E4" s="81">
        <f>'📈 P&amp;L'!E7</f>
        <v>50.118473999999999</v>
      </c>
      <c r="F4" s="81">
        <f>'📈 P&amp;L'!F7</f>
        <v>49.11610452</v>
      </c>
      <c r="G4" s="81">
        <f>'📈 P&amp;L'!G7</f>
        <v>48.133782429599997</v>
      </c>
      <c r="H4" s="81">
        <f>'📈 P&amp;L'!H7</f>
        <v>47.171106781007992</v>
      </c>
      <c r="I4" s="81">
        <f>'📈 P&amp;L'!I7</f>
        <v>46.227684645387825</v>
      </c>
      <c r="J4" s="81">
        <f>'📈 P&amp;L'!J7</f>
        <v>45.303130952480068</v>
      </c>
      <c r="K4" s="81">
        <f>'📈 P&amp;L'!K7</f>
        <v>44.397068333430468</v>
      </c>
      <c r="L4" s="81">
        <f>'📈 P&amp;L'!L7</f>
        <v>43.509126966761862</v>
      </c>
      <c r="M4" s="81">
        <f>'📈 P&amp;L'!M7</f>
        <v>49.575749999999999</v>
      </c>
      <c r="N4" s="81">
        <f>'📈 P&amp;L'!N7</f>
        <v>48.584235</v>
      </c>
      <c r="O4" s="81">
        <f>'📈 P&amp;L'!O7</f>
        <v>33.328785209999999</v>
      </c>
      <c r="P4" s="81">
        <f>'📈 P&amp;L'!P7</f>
        <v>32.662209505799993</v>
      </c>
      <c r="Q4" s="81">
        <f>'📈 P&amp;L'!Q7</f>
        <v>32.008965315683994</v>
      </c>
      <c r="R4" s="81">
        <f>'📈 P&amp;L'!R7</f>
        <v>31.368786009370314</v>
      </c>
      <c r="S4" s="81">
        <f>'📈 P&amp;L'!S7</f>
        <v>30.741410289182905</v>
      </c>
      <c r="T4" s="81">
        <f>'📈 P&amp;L'!T7</f>
        <v>30.126582083399253</v>
      </c>
      <c r="U4" s="81">
        <f>'📈 P&amp;L'!U7</f>
        <v>29.524050441731266</v>
      </c>
      <c r="V4" s="81">
        <f>'📈 P&amp;L'!V7</f>
        <v>28.93356943289664</v>
      </c>
    </row>
    <row r="5" spans="1:22" ht="15" customHeight="1" x14ac:dyDescent="0.25">
      <c r="A5" s="14" t="s">
        <v>469</v>
      </c>
      <c r="B5" s="33"/>
      <c r="C5" s="81" t="s">
        <v>247</v>
      </c>
      <c r="D5" s="81" t="s">
        <v>247</v>
      </c>
      <c r="E5" s="81" t="s">
        <v>247</v>
      </c>
      <c r="F5" s="81" t="s">
        <v>247</v>
      </c>
      <c r="G5" s="81" t="s">
        <v>247</v>
      </c>
      <c r="H5" s="81" t="s">
        <v>247</v>
      </c>
      <c r="I5" s="81" t="s">
        <v>247</v>
      </c>
      <c r="J5" s="81" t="s">
        <v>247</v>
      </c>
      <c r="K5" s="81" t="s">
        <v>247</v>
      </c>
      <c r="L5" s="81" t="s">
        <v>247</v>
      </c>
      <c r="M5" s="81" t="s">
        <v>247</v>
      </c>
      <c r="N5" s="81" t="s">
        <v>247</v>
      </c>
      <c r="O5" s="81" t="s">
        <v>247</v>
      </c>
      <c r="P5" s="81" t="s">
        <v>247</v>
      </c>
      <c r="Q5" s="81" t="s">
        <v>247</v>
      </c>
      <c r="R5" s="81" t="s">
        <v>247</v>
      </c>
      <c r="S5" s="81" t="s">
        <v>247</v>
      </c>
      <c r="T5" s="81" t="s">
        <v>247</v>
      </c>
      <c r="U5" s="81" t="s">
        <v>247</v>
      </c>
      <c r="V5" s="81" t="s">
        <v>247</v>
      </c>
    </row>
    <row r="6" spans="1:22" ht="15" customHeight="1" x14ac:dyDescent="0.25">
      <c r="A6" s="63" t="s">
        <v>470</v>
      </c>
      <c r="B6" s="48"/>
      <c r="C6" s="64">
        <f t="shared" ref="C6:V6" si="0">C4-C5</f>
        <v>52.185000000000002</v>
      </c>
      <c r="D6" s="64">
        <f t="shared" si="0"/>
        <v>51.141300000000001</v>
      </c>
      <c r="E6" s="64">
        <f t="shared" si="0"/>
        <v>50.118473999999999</v>
      </c>
      <c r="F6" s="64">
        <f t="shared" si="0"/>
        <v>49.11610452</v>
      </c>
      <c r="G6" s="64">
        <f t="shared" si="0"/>
        <v>48.133782429599997</v>
      </c>
      <c r="H6" s="64">
        <f t="shared" si="0"/>
        <v>47.171106781007992</v>
      </c>
      <c r="I6" s="64">
        <f t="shared" si="0"/>
        <v>46.227684645387825</v>
      </c>
      <c r="J6" s="64">
        <f t="shared" si="0"/>
        <v>45.303130952480068</v>
      </c>
      <c r="K6" s="64">
        <f t="shared" si="0"/>
        <v>44.397068333430468</v>
      </c>
      <c r="L6" s="64">
        <f t="shared" si="0"/>
        <v>43.509126966761862</v>
      </c>
      <c r="M6" s="64">
        <f t="shared" si="0"/>
        <v>49.575749999999999</v>
      </c>
      <c r="N6" s="64">
        <f t="shared" si="0"/>
        <v>48.584235</v>
      </c>
      <c r="O6" s="64">
        <f t="shared" si="0"/>
        <v>33.328785209999999</v>
      </c>
      <c r="P6" s="64">
        <f t="shared" si="0"/>
        <v>32.662209505799993</v>
      </c>
      <c r="Q6" s="64">
        <f t="shared" si="0"/>
        <v>32.008965315683994</v>
      </c>
      <c r="R6" s="64">
        <f t="shared" si="0"/>
        <v>31.368786009370314</v>
      </c>
      <c r="S6" s="64">
        <f t="shared" si="0"/>
        <v>30.741410289182905</v>
      </c>
      <c r="T6" s="64">
        <f t="shared" si="0"/>
        <v>30.126582083399253</v>
      </c>
      <c r="U6" s="64">
        <f t="shared" si="0"/>
        <v>29.524050441731266</v>
      </c>
      <c r="V6" s="64">
        <f t="shared" si="0"/>
        <v>28.93356943289664</v>
      </c>
    </row>
    <row r="7" spans="1:22" ht="39.75" customHeight="1" x14ac:dyDescent="0.25">
      <c r="A7" s="14" t="s">
        <v>471</v>
      </c>
      <c r="B7" s="33"/>
      <c r="C7" s="81">
        <f>'📈 P&amp;L'!C13</f>
        <v>18.255108265000001</v>
      </c>
      <c r="D7" s="81">
        <f>'📈 P&amp;L'!D13</f>
        <v>19.030108264999999</v>
      </c>
      <c r="E7" s="81">
        <f>'📈 P&amp;L'!E13</f>
        <v>19.843858265000001</v>
      </c>
      <c r="F7" s="81">
        <f>'📈 P&amp;L'!F13</f>
        <v>20.698295765000005</v>
      </c>
      <c r="G7" s="81">
        <f>'📈 P&amp;L'!G13</f>
        <v>21.595455139999999</v>
      </c>
      <c r="H7" s="81">
        <f>'📈 P&amp;L'!H13</f>
        <v>22.537472483750005</v>
      </c>
      <c r="I7" s="81">
        <f>'📈 P&amp;L'!I13</f>
        <v>23.526590694687499</v>
      </c>
      <c r="J7" s="81">
        <f>'📈 P&amp;L'!J13</f>
        <v>24.56516481617188</v>
      </c>
      <c r="K7" s="81">
        <f>'📈 P&amp;L'!K13</f>
        <v>25.655667643730471</v>
      </c>
      <c r="L7" s="81">
        <f>'📈 P&amp;L'!L13</f>
        <v>26.800695612666996</v>
      </c>
      <c r="M7" s="81">
        <f>'📈 P&amp;L'!M13</f>
        <v>28.002974980050347</v>
      </c>
      <c r="N7" s="81">
        <f>'📈 P&amp;L'!N13</f>
        <v>29.265368315802863</v>
      </c>
      <c r="O7" s="81">
        <f>'📈 P&amp;L'!O13</f>
        <v>30.590881318343005</v>
      </c>
      <c r="P7" s="81">
        <f>'📈 P&amp;L'!P13</f>
        <v>31.982669971010161</v>
      </c>
      <c r="Q7" s="81">
        <f>'📈 P&amp;L'!Q13</f>
        <v>33.444048056310656</v>
      </c>
      <c r="R7" s="81">
        <f>'📈 P&amp;L'!R13</f>
        <v>34.978495045876201</v>
      </c>
      <c r="S7" s="81">
        <f>'📈 P&amp;L'!S13</f>
        <v>36.589664384920006</v>
      </c>
      <c r="T7" s="81">
        <f>'📈 P&amp;L'!T13</f>
        <v>38.281392190916016</v>
      </c>
      <c r="U7" s="81">
        <f>'📈 P&amp;L'!U13</f>
        <v>40.057706387211816</v>
      </c>
      <c r="V7" s="81">
        <f>'📈 P&amp;L'!V13</f>
        <v>41.922836293322398</v>
      </c>
    </row>
    <row r="8" spans="1:22" ht="15" customHeight="1" x14ac:dyDescent="0.25">
      <c r="A8" s="63" t="s">
        <v>472</v>
      </c>
      <c r="B8" s="48"/>
      <c r="C8" s="64">
        <f t="shared" ref="C8:V8" si="1">C6-C7</f>
        <v>33.929891734999998</v>
      </c>
      <c r="D8" s="64">
        <f t="shared" si="1"/>
        <v>32.111191735000006</v>
      </c>
      <c r="E8" s="64">
        <f t="shared" si="1"/>
        <v>30.274615734999998</v>
      </c>
      <c r="F8" s="64">
        <f t="shared" si="1"/>
        <v>28.417808754999996</v>
      </c>
      <c r="G8" s="64">
        <f t="shared" si="1"/>
        <v>26.538327289599998</v>
      </c>
      <c r="H8" s="64">
        <f t="shared" si="1"/>
        <v>24.633634297257988</v>
      </c>
      <c r="I8" s="64">
        <f t="shared" si="1"/>
        <v>22.701093950700326</v>
      </c>
      <c r="J8" s="64">
        <f t="shared" si="1"/>
        <v>20.737966136308188</v>
      </c>
      <c r="K8" s="64">
        <f t="shared" si="1"/>
        <v>18.741400689699997</v>
      </c>
      <c r="L8" s="64">
        <f t="shared" si="1"/>
        <v>16.708431354094866</v>
      </c>
      <c r="M8" s="64">
        <f t="shared" si="1"/>
        <v>21.572775019949653</v>
      </c>
      <c r="N8" s="64">
        <f t="shared" si="1"/>
        <v>19.318866684197136</v>
      </c>
      <c r="O8" s="64">
        <f t="shared" si="1"/>
        <v>2.7379038916569947</v>
      </c>
      <c r="P8" s="64">
        <f t="shared" si="1"/>
        <v>0.67953953478983209</v>
      </c>
      <c r="Q8" s="64">
        <f t="shared" si="1"/>
        <v>-1.4350827406266617</v>
      </c>
      <c r="R8" s="64">
        <f t="shared" si="1"/>
        <v>-3.6097090365058868</v>
      </c>
      <c r="S8" s="64">
        <f t="shared" si="1"/>
        <v>-5.8482540957371008</v>
      </c>
      <c r="T8" s="64">
        <f t="shared" si="1"/>
        <v>-8.1548101075167629</v>
      </c>
      <c r="U8" s="64">
        <f t="shared" si="1"/>
        <v>-10.53365594548055</v>
      </c>
      <c r="V8" s="64">
        <f t="shared" si="1"/>
        <v>-12.989266860425758</v>
      </c>
    </row>
    <row r="9" spans="1:22" ht="15" customHeight="1" x14ac:dyDescent="0.25">
      <c r="A9" s="14" t="s">
        <v>473</v>
      </c>
      <c r="B9" s="33"/>
      <c r="C9" s="81">
        <f>'📈 P&amp;L'!C18</f>
        <v>37.390755024999997</v>
      </c>
      <c r="D9" s="81">
        <f>'📈 P&amp;L'!D18</f>
        <v>37.390755024999997</v>
      </c>
      <c r="E9" s="81">
        <f>'📈 P&amp;L'!E18</f>
        <v>37.390755024999997</v>
      </c>
      <c r="F9" s="81">
        <f>'📈 P&amp;L'!F18</f>
        <v>37.390755024999997</v>
      </c>
      <c r="G9" s="81">
        <f>'📈 P&amp;L'!G18</f>
        <v>37.390755024999997</v>
      </c>
      <c r="H9" s="81">
        <f>'📈 P&amp;L'!H18</f>
        <v>37.390755024999997</v>
      </c>
      <c r="I9" s="81">
        <f>'📈 P&amp;L'!I18</f>
        <v>37.390755024999997</v>
      </c>
      <c r="J9" s="81">
        <f>'📈 P&amp;L'!J18</f>
        <v>37.390755024999997</v>
      </c>
      <c r="K9" s="81">
        <f>'📈 P&amp;L'!K18</f>
        <v>37.390755024999997</v>
      </c>
      <c r="L9" s="81">
        <f>'📈 P&amp;L'!L18</f>
        <v>37.390755024999997</v>
      </c>
      <c r="M9" s="81">
        <f>'📈 P&amp;L'!M18</f>
        <v>48.640755024999997</v>
      </c>
      <c r="N9" s="81">
        <f>'📈 P&amp;L'!N18</f>
        <v>48.640755024999997</v>
      </c>
      <c r="O9" s="81">
        <f>'📈 P&amp;L'!O18</f>
        <v>48.640755024999997</v>
      </c>
      <c r="P9" s="81">
        <f>'📈 P&amp;L'!P18</f>
        <v>48.640755024999997</v>
      </c>
      <c r="Q9" s="81">
        <f>'📈 P&amp;L'!Q18</f>
        <v>48.640755024999997</v>
      </c>
      <c r="R9" s="81">
        <f>'📈 P&amp;L'!R18</f>
        <v>48.640755024999997</v>
      </c>
      <c r="S9" s="81">
        <f>'📈 P&amp;L'!S18</f>
        <v>48.640755024999997</v>
      </c>
      <c r="T9" s="81">
        <f>'📈 P&amp;L'!T18</f>
        <v>48.640755024999997</v>
      </c>
      <c r="U9" s="81">
        <f>'📈 P&amp;L'!U18</f>
        <v>48.640755024999997</v>
      </c>
      <c r="V9" s="81">
        <f>'📈 P&amp;L'!V18</f>
        <v>48.640755024999997</v>
      </c>
    </row>
    <row r="10" spans="1:22" ht="15" customHeight="1" x14ac:dyDescent="0.25">
      <c r="A10" s="63" t="s">
        <v>474</v>
      </c>
      <c r="B10" s="48"/>
      <c r="C10" s="64">
        <f t="shared" ref="C10:V10" si="2">C8-C9</f>
        <v>-3.4608632899999989</v>
      </c>
      <c r="D10" s="64">
        <f t="shared" si="2"/>
        <v>-5.2795632899999916</v>
      </c>
      <c r="E10" s="64">
        <f t="shared" si="2"/>
        <v>-7.1161392899999996</v>
      </c>
      <c r="F10" s="64">
        <f t="shared" si="2"/>
        <v>-8.9729462700000013</v>
      </c>
      <c r="G10" s="64">
        <f t="shared" si="2"/>
        <v>-10.852427735399999</v>
      </c>
      <c r="H10" s="64">
        <f t="shared" si="2"/>
        <v>-12.757120727742009</v>
      </c>
      <c r="I10" s="64">
        <f t="shared" si="2"/>
        <v>-14.689661074299671</v>
      </c>
      <c r="J10" s="64">
        <f t="shared" si="2"/>
        <v>-16.652788888691809</v>
      </c>
      <c r="K10" s="64">
        <f t="shared" si="2"/>
        <v>-18.6493543353</v>
      </c>
      <c r="L10" s="64">
        <f t="shared" si="2"/>
        <v>-20.682323670905131</v>
      </c>
      <c r="M10" s="64">
        <f t="shared" si="2"/>
        <v>-27.067980005050345</v>
      </c>
      <c r="N10" s="64">
        <f t="shared" si="2"/>
        <v>-29.321888340802861</v>
      </c>
      <c r="O10" s="64">
        <f t="shared" si="2"/>
        <v>-45.902851133343006</v>
      </c>
      <c r="P10" s="64">
        <f t="shared" si="2"/>
        <v>-47.961215490210165</v>
      </c>
      <c r="Q10" s="64">
        <f t="shared" si="2"/>
        <v>-50.075837765626659</v>
      </c>
      <c r="R10" s="64">
        <f t="shared" si="2"/>
        <v>-52.25046406150588</v>
      </c>
      <c r="S10" s="64">
        <f t="shared" si="2"/>
        <v>-54.489009120737094</v>
      </c>
      <c r="T10" s="64">
        <f t="shared" si="2"/>
        <v>-56.795565132516757</v>
      </c>
      <c r="U10" s="64">
        <f t="shared" si="2"/>
        <v>-59.174410970480551</v>
      </c>
      <c r="V10" s="64">
        <f t="shared" si="2"/>
        <v>-61.630021885425755</v>
      </c>
    </row>
    <row r="11" spans="1:22" ht="15" customHeight="1" x14ac:dyDescent="0.25">
      <c r="A11" s="14" t="s">
        <v>475</v>
      </c>
      <c r="B11" s="33"/>
      <c r="C11" s="81">
        <f>'📈 P&amp;L'!C21</f>
        <v>59.234827697500002</v>
      </c>
      <c r="D11" s="81">
        <f>'📈 P&amp;L'!D21</f>
        <v>30.787317697500004</v>
      </c>
      <c r="E11" s="81">
        <f>'📈 P&amp;L'!E21</f>
        <v>25.402333361363638</v>
      </c>
      <c r="F11" s="81">
        <f>'📈 P&amp;L'!F21</f>
        <v>20.017349025227276</v>
      </c>
      <c r="G11" s="81">
        <f>'📈 P&amp;L'!G21</f>
        <v>14.632364689090913</v>
      </c>
      <c r="H11" s="81">
        <f>'📈 P&amp;L'!H21</f>
        <v>9.2473803529545506</v>
      </c>
      <c r="I11" s="81">
        <f>'📈 P&amp;L'!I21</f>
        <v>3.8623960168181863</v>
      </c>
      <c r="J11" s="81">
        <f>'📈 P&amp;L'!J21</f>
        <v>0</v>
      </c>
      <c r="K11" s="81">
        <f>'📈 P&amp;L'!K21</f>
        <v>0</v>
      </c>
      <c r="L11" s="81">
        <f>'📈 P&amp;L'!L21</f>
        <v>0</v>
      </c>
      <c r="M11" s="81">
        <f>'📈 P&amp;L'!M21</f>
        <v>0</v>
      </c>
      <c r="N11" s="81">
        <f>'📈 P&amp;L'!N21</f>
        <v>0</v>
      </c>
      <c r="O11" s="81">
        <f>'📈 P&amp;L'!O21</f>
        <v>0</v>
      </c>
      <c r="P11" s="81">
        <f>'📈 P&amp;L'!P21</f>
        <v>0</v>
      </c>
      <c r="Q11" s="81">
        <f>'📈 P&amp;L'!Q21</f>
        <v>0</v>
      </c>
      <c r="R11" s="81">
        <f>'📈 P&amp;L'!R21</f>
        <v>0</v>
      </c>
      <c r="S11" s="81">
        <f>'📈 P&amp;L'!S21</f>
        <v>0</v>
      </c>
      <c r="T11" s="81">
        <f>'📈 P&amp;L'!T21</f>
        <v>0</v>
      </c>
      <c r="U11" s="81">
        <f>'📈 P&amp;L'!U21</f>
        <v>0</v>
      </c>
      <c r="V11" s="81">
        <f>'📈 P&amp;L'!V21</f>
        <v>0</v>
      </c>
    </row>
    <row r="12" spans="1:22" ht="15" customHeight="1" x14ac:dyDescent="0.25">
      <c r="A12" s="63" t="s">
        <v>476</v>
      </c>
      <c r="B12" s="48"/>
      <c r="C12" s="64">
        <f t="shared" ref="C12:V12" si="3">C10-C11</f>
        <v>-62.695690987500001</v>
      </c>
      <c r="D12" s="64">
        <f t="shared" si="3"/>
        <v>-36.066880987499999</v>
      </c>
      <c r="E12" s="64">
        <f t="shared" si="3"/>
        <v>-32.518472651363638</v>
      </c>
      <c r="F12" s="64">
        <f t="shared" si="3"/>
        <v>-28.990295295227277</v>
      </c>
      <c r="G12" s="64">
        <f t="shared" si="3"/>
        <v>-25.484792424490912</v>
      </c>
      <c r="H12" s="64">
        <f t="shared" si="3"/>
        <v>-22.00450108069656</v>
      </c>
      <c r="I12" s="64">
        <f t="shared" si="3"/>
        <v>-18.552057091117859</v>
      </c>
      <c r="J12" s="64">
        <f t="shared" si="3"/>
        <v>-16.652788888691809</v>
      </c>
      <c r="K12" s="64">
        <f t="shared" si="3"/>
        <v>-18.6493543353</v>
      </c>
      <c r="L12" s="64">
        <f t="shared" si="3"/>
        <v>-20.682323670905131</v>
      </c>
      <c r="M12" s="64">
        <f t="shared" si="3"/>
        <v>-27.067980005050345</v>
      </c>
      <c r="N12" s="64">
        <f t="shared" si="3"/>
        <v>-29.321888340802861</v>
      </c>
      <c r="O12" s="64">
        <f t="shared" si="3"/>
        <v>-45.902851133343006</v>
      </c>
      <c r="P12" s="64">
        <f t="shared" si="3"/>
        <v>-47.961215490210165</v>
      </c>
      <c r="Q12" s="64">
        <f t="shared" si="3"/>
        <v>-50.075837765626659</v>
      </c>
      <c r="R12" s="64">
        <f t="shared" si="3"/>
        <v>-52.25046406150588</v>
      </c>
      <c r="S12" s="64">
        <f t="shared" si="3"/>
        <v>-54.489009120737094</v>
      </c>
      <c r="T12" s="64">
        <f t="shared" si="3"/>
        <v>-56.795565132516757</v>
      </c>
      <c r="U12" s="64">
        <f t="shared" si="3"/>
        <v>-59.174410970480551</v>
      </c>
      <c r="V12" s="64">
        <f t="shared" si="3"/>
        <v>-61.630021885425755</v>
      </c>
    </row>
    <row r="13" spans="1:22" ht="39" customHeight="1" x14ac:dyDescent="0.25">
      <c r="A13" s="14" t="s">
        <v>477</v>
      </c>
      <c r="B13" s="33"/>
      <c r="C13" s="81">
        <f>'📈 P&amp;L'!C20</f>
        <v>13.231399999999999</v>
      </c>
      <c r="D13" s="81">
        <f>'📈 P&amp;L'!D20</f>
        <v>13.231399999999999</v>
      </c>
      <c r="E13" s="81">
        <f>'📈 P&amp;L'!E20</f>
        <v>13.231399999999999</v>
      </c>
      <c r="F13" s="81">
        <f>'📈 P&amp;L'!F20</f>
        <v>13.231399999999999</v>
      </c>
      <c r="G13" s="81">
        <f>'📈 P&amp;L'!G20</f>
        <v>13.231399999999999</v>
      </c>
      <c r="H13" s="81">
        <f>'📈 P&amp;L'!H20</f>
        <v>13.231399999999999</v>
      </c>
      <c r="I13" s="81">
        <f>'📈 P&amp;L'!I20</f>
        <v>13.231399999999999</v>
      </c>
      <c r="J13" s="81">
        <f>'📈 P&amp;L'!J20</f>
        <v>13.231399999999999</v>
      </c>
      <c r="K13" s="81">
        <f>'📈 P&amp;L'!K20</f>
        <v>13.231399999999999</v>
      </c>
      <c r="L13" s="81">
        <f>'📈 P&amp;L'!L20</f>
        <v>13.231399999999999</v>
      </c>
      <c r="M13" s="81">
        <f>'📈 P&amp;L'!M20</f>
        <v>13.231399999999999</v>
      </c>
      <c r="N13" s="81">
        <f>'📈 P&amp;L'!N20</f>
        <v>13.231399999999999</v>
      </c>
      <c r="O13" s="81">
        <f>'📈 P&amp;L'!O20</f>
        <v>13.231399999999999</v>
      </c>
      <c r="P13" s="81">
        <f>'📈 P&amp;L'!P20</f>
        <v>13.231399999999999</v>
      </c>
      <c r="Q13" s="81">
        <f>'📈 P&amp;L'!Q20</f>
        <v>13.231399999999999</v>
      </c>
      <c r="R13" s="81">
        <f>'📈 P&amp;L'!R20</f>
        <v>13.231399999999999</v>
      </c>
      <c r="S13" s="81">
        <f>'📈 P&amp;L'!S20</f>
        <v>13.231399999999999</v>
      </c>
      <c r="T13" s="81">
        <f>'📈 P&amp;L'!T20</f>
        <v>13.231399999999999</v>
      </c>
      <c r="U13" s="81">
        <f>'📈 P&amp;L'!U20</f>
        <v>13.231399999999999</v>
      </c>
      <c r="V13" s="81">
        <f>'📈 P&amp;L'!V20</f>
        <v>13.231399999999999</v>
      </c>
    </row>
    <row r="14" spans="1:22" ht="15" customHeight="1" x14ac:dyDescent="0.25">
      <c r="A14" s="63" t="s">
        <v>478</v>
      </c>
      <c r="B14" s="48"/>
      <c r="C14" s="64">
        <f t="shared" ref="C14:V14" si="4">C12+C13</f>
        <v>-49.4642909875</v>
      </c>
      <c r="D14" s="64">
        <f t="shared" si="4"/>
        <v>-22.835480987499999</v>
      </c>
      <c r="E14" s="64">
        <f t="shared" si="4"/>
        <v>-19.287072651363637</v>
      </c>
      <c r="F14" s="64">
        <f t="shared" si="4"/>
        <v>-15.758895295227278</v>
      </c>
      <c r="G14" s="64">
        <f t="shared" si="4"/>
        <v>-12.253392424490913</v>
      </c>
      <c r="H14" s="64">
        <f t="shared" si="4"/>
        <v>-8.773101080696561</v>
      </c>
      <c r="I14" s="64">
        <f t="shared" si="4"/>
        <v>-5.3206570911178606</v>
      </c>
      <c r="J14" s="64">
        <f t="shared" si="4"/>
        <v>-3.4213888886918102</v>
      </c>
      <c r="K14" s="64">
        <f t="shared" si="4"/>
        <v>-5.417954335300001</v>
      </c>
      <c r="L14" s="64">
        <f t="shared" si="4"/>
        <v>-7.4509236709051319</v>
      </c>
      <c r="M14" s="64">
        <f t="shared" si="4"/>
        <v>-13.836580005050346</v>
      </c>
      <c r="N14" s="64">
        <f t="shared" si="4"/>
        <v>-16.090488340802864</v>
      </c>
      <c r="O14" s="64">
        <f t="shared" si="4"/>
        <v>-32.671451133343005</v>
      </c>
      <c r="P14" s="64">
        <f t="shared" si="4"/>
        <v>-34.729815490210164</v>
      </c>
      <c r="Q14" s="64">
        <f t="shared" si="4"/>
        <v>-36.844437765626658</v>
      </c>
      <c r="R14" s="64">
        <f t="shared" si="4"/>
        <v>-39.01906406150588</v>
      </c>
      <c r="S14" s="64">
        <f t="shared" si="4"/>
        <v>-41.257609120737094</v>
      </c>
      <c r="T14" s="64">
        <f t="shared" si="4"/>
        <v>-43.564165132516756</v>
      </c>
      <c r="U14" s="64">
        <f t="shared" si="4"/>
        <v>-45.94301097048055</v>
      </c>
      <c r="V14" s="64">
        <f t="shared" si="4"/>
        <v>-48.398621885425754</v>
      </c>
    </row>
    <row r="15" spans="1:22" ht="15" customHeight="1" x14ac:dyDescent="0.25">
      <c r="A15" s="14" t="s">
        <v>479</v>
      </c>
      <c r="B15" s="33"/>
      <c r="C15" s="81">
        <f>'📈 P&amp;L'!C25</f>
        <v>0</v>
      </c>
      <c r="D15" s="81">
        <f>'📈 P&amp;L'!D25</f>
        <v>0</v>
      </c>
      <c r="E15" s="81">
        <f>'📈 P&amp;L'!E25</f>
        <v>0</v>
      </c>
      <c r="F15" s="81">
        <f>'📈 P&amp;L'!F25</f>
        <v>0</v>
      </c>
      <c r="G15" s="81">
        <f>'📈 P&amp;L'!G25</f>
        <v>0</v>
      </c>
      <c r="H15" s="81">
        <f>'📈 P&amp;L'!H25</f>
        <v>0</v>
      </c>
      <c r="I15" s="81">
        <f>'📈 P&amp;L'!I25</f>
        <v>0</v>
      </c>
      <c r="J15" s="81">
        <f>'📈 P&amp;L'!J25</f>
        <v>0</v>
      </c>
      <c r="K15" s="81">
        <f>'📈 P&amp;L'!K25</f>
        <v>0</v>
      </c>
      <c r="L15" s="81">
        <f>'📈 P&amp;L'!L25</f>
        <v>0</v>
      </c>
      <c r="M15" s="81">
        <f>'📈 P&amp;L'!M25</f>
        <v>0</v>
      </c>
      <c r="N15" s="81">
        <f>'📈 P&amp;L'!N25</f>
        <v>0</v>
      </c>
      <c r="O15" s="81">
        <f>'📈 P&amp;L'!O25</f>
        <v>0</v>
      </c>
      <c r="P15" s="81">
        <f>'📈 P&amp;L'!P25</f>
        <v>0</v>
      </c>
      <c r="Q15" s="81">
        <f>'📈 P&amp;L'!Q25</f>
        <v>0</v>
      </c>
      <c r="R15" s="81">
        <f>'📈 P&amp;L'!R25</f>
        <v>0</v>
      </c>
      <c r="S15" s="81">
        <f>'📈 P&amp;L'!S25</f>
        <v>0</v>
      </c>
      <c r="T15" s="81">
        <f>'📈 P&amp;L'!T25</f>
        <v>0</v>
      </c>
      <c r="U15" s="81">
        <f>'📈 P&amp;L'!U25</f>
        <v>0</v>
      </c>
      <c r="V15" s="81">
        <f>'📈 P&amp;L'!V25</f>
        <v>0</v>
      </c>
    </row>
    <row r="16" spans="1:22" ht="15" customHeight="1" x14ac:dyDescent="0.25">
      <c r="A16" s="63" t="s">
        <v>480</v>
      </c>
      <c r="B16" s="48"/>
      <c r="C16" s="64">
        <f t="shared" ref="C16:V16" si="5">C14-C15</f>
        <v>-49.4642909875</v>
      </c>
      <c r="D16" s="64">
        <f t="shared" si="5"/>
        <v>-22.835480987499999</v>
      </c>
      <c r="E16" s="64">
        <f t="shared" si="5"/>
        <v>-19.287072651363637</v>
      </c>
      <c r="F16" s="64">
        <f t="shared" si="5"/>
        <v>-15.758895295227278</v>
      </c>
      <c r="G16" s="64">
        <f t="shared" si="5"/>
        <v>-12.253392424490913</v>
      </c>
      <c r="H16" s="64">
        <f t="shared" si="5"/>
        <v>-8.773101080696561</v>
      </c>
      <c r="I16" s="64">
        <f t="shared" si="5"/>
        <v>-5.3206570911178606</v>
      </c>
      <c r="J16" s="64">
        <f t="shared" si="5"/>
        <v>-3.4213888886918102</v>
      </c>
      <c r="K16" s="64">
        <f t="shared" si="5"/>
        <v>-5.417954335300001</v>
      </c>
      <c r="L16" s="64">
        <f t="shared" si="5"/>
        <v>-7.4509236709051319</v>
      </c>
      <c r="M16" s="64">
        <f t="shared" si="5"/>
        <v>-13.836580005050346</v>
      </c>
      <c r="N16" s="64">
        <f t="shared" si="5"/>
        <v>-16.090488340802864</v>
      </c>
      <c r="O16" s="64">
        <f t="shared" si="5"/>
        <v>-32.671451133343005</v>
      </c>
      <c r="P16" s="64">
        <f t="shared" si="5"/>
        <v>-34.729815490210164</v>
      </c>
      <c r="Q16" s="64">
        <f t="shared" si="5"/>
        <v>-36.844437765626658</v>
      </c>
      <c r="R16" s="64">
        <f t="shared" si="5"/>
        <v>-39.01906406150588</v>
      </c>
      <c r="S16" s="64">
        <f t="shared" si="5"/>
        <v>-41.257609120737094</v>
      </c>
      <c r="T16" s="64">
        <f t="shared" si="5"/>
        <v>-43.564165132516756</v>
      </c>
      <c r="U16" s="64">
        <f t="shared" si="5"/>
        <v>-45.94301097048055</v>
      </c>
      <c r="V16" s="64">
        <f t="shared" si="5"/>
        <v>-48.398621885425754</v>
      </c>
    </row>
    <row r="18" spans="1:22" ht="19.5" customHeight="1" x14ac:dyDescent="0.25">
      <c r="A18" s="156" t="s">
        <v>481</v>
      </c>
      <c r="B18" s="156"/>
      <c r="C18" s="156"/>
      <c r="D18" s="156"/>
      <c r="E18" s="156"/>
      <c r="F18" s="156"/>
      <c r="G18" s="156"/>
      <c r="H18" s="156"/>
      <c r="I18" s="156"/>
      <c r="J18" s="156"/>
      <c r="K18" s="156"/>
      <c r="L18" s="156"/>
      <c r="M18" s="156"/>
      <c r="N18" s="156"/>
      <c r="O18" s="156"/>
      <c r="P18" s="156"/>
      <c r="Q18" s="156"/>
      <c r="R18" s="156"/>
      <c r="S18" s="156"/>
      <c r="T18" s="156"/>
      <c r="U18" s="156"/>
      <c r="V18" s="156"/>
    </row>
    <row r="19" spans="1:22" ht="15" customHeight="1" x14ac:dyDescent="0.25">
      <c r="A19" s="14" t="s">
        <v>482</v>
      </c>
      <c r="B19" s="33"/>
      <c r="C19" s="29">
        <f t="shared" ref="C19:V19" si="6">IFERROR(C8/C6,0)</f>
        <v>0.65018476065919317</v>
      </c>
      <c r="D19" s="29">
        <f t="shared" si="6"/>
        <v>0.62789158146155855</v>
      </c>
      <c r="E19" s="29">
        <f t="shared" si="6"/>
        <v>0.60406100423169307</v>
      </c>
      <c r="F19" s="29">
        <f t="shared" si="6"/>
        <v>0.57858433670016129</v>
      </c>
      <c r="G19" s="29">
        <f t="shared" si="6"/>
        <v>0.55134514575941951</v>
      </c>
      <c r="H19" s="29">
        <f t="shared" si="6"/>
        <v>0.52221870501406109</v>
      </c>
      <c r="I19" s="29">
        <f t="shared" si="6"/>
        <v>0.49107140287990247</v>
      </c>
      <c r="J19" s="29">
        <f t="shared" si="6"/>
        <v>0.45776010841416054</v>
      </c>
      <c r="K19" s="29">
        <f t="shared" si="6"/>
        <v>0.42213149185771676</v>
      </c>
      <c r="L19" s="29">
        <f t="shared" si="6"/>
        <v>0.38402129665481494</v>
      </c>
      <c r="M19" s="29">
        <f t="shared" si="6"/>
        <v>0.43514772887852737</v>
      </c>
      <c r="N19" s="29">
        <f t="shared" si="6"/>
        <v>0.39763653136037103</v>
      </c>
      <c r="O19" s="29">
        <f t="shared" si="6"/>
        <v>8.2148325371172282E-2</v>
      </c>
      <c r="P19" s="29">
        <f t="shared" si="6"/>
        <v>2.0805069377476219E-2</v>
      </c>
      <c r="Q19" s="29">
        <f t="shared" si="6"/>
        <v>-4.4833774740087866E-2</v>
      </c>
      <c r="R19" s="29">
        <f t="shared" si="6"/>
        <v>-0.11507327811243999</v>
      </c>
      <c r="S19" s="29">
        <f t="shared" si="6"/>
        <v>-0.19024026681674222</v>
      </c>
      <c r="T19" s="29">
        <f t="shared" si="6"/>
        <v>-0.27068487506952654</v>
      </c>
      <c r="U19" s="29">
        <f t="shared" si="6"/>
        <v>-0.35678220934725058</v>
      </c>
      <c r="V19" s="29">
        <f t="shared" si="6"/>
        <v>-0.44893413135737525</v>
      </c>
    </row>
    <row r="20" spans="1:22" ht="15" customHeight="1" x14ac:dyDescent="0.25">
      <c r="A20" s="14" t="s">
        <v>483</v>
      </c>
      <c r="B20" s="33"/>
      <c r="C20" s="29">
        <f t="shared" ref="C20:V20" si="7">IFERROR(C16/C6,0)</f>
        <v>-0.94786415612723962</v>
      </c>
      <c r="D20" s="29">
        <f t="shared" si="7"/>
        <v>-0.4465174132745941</v>
      </c>
      <c r="E20" s="29">
        <f t="shared" si="7"/>
        <v>-0.38482960697014912</v>
      </c>
      <c r="F20" s="29">
        <f t="shared" si="7"/>
        <v>-0.32084986073784172</v>
      </c>
      <c r="G20" s="29">
        <f t="shared" si="7"/>
        <v>-0.25456948957652781</v>
      </c>
      <c r="H20" s="29">
        <f t="shared" si="7"/>
        <v>-0.18598463507387497</v>
      </c>
      <c r="I20" s="29">
        <f t="shared" si="7"/>
        <v>-0.11509676792018843</v>
      </c>
      <c r="J20" s="29">
        <f t="shared" si="7"/>
        <v>-7.5522128752659873E-2</v>
      </c>
      <c r="K20" s="29">
        <f t="shared" si="7"/>
        <v>-0.12203405627169182</v>
      </c>
      <c r="L20" s="29">
        <f t="shared" si="7"/>
        <v>-0.17124967082417333</v>
      </c>
      <c r="M20" s="29">
        <f t="shared" si="7"/>
        <v>-0.27909976157799621</v>
      </c>
      <c r="N20" s="29">
        <f t="shared" si="7"/>
        <v>-0.33118743849322446</v>
      </c>
      <c r="O20" s="29">
        <f t="shared" si="7"/>
        <v>-0.98027728666030811</v>
      </c>
      <c r="P20" s="29">
        <f t="shared" si="7"/>
        <v>-1.0633026980015854</v>
      </c>
      <c r="Q20" s="29">
        <f t="shared" si="7"/>
        <v>-1.151066190433008</v>
      </c>
      <c r="R20" s="29">
        <f t="shared" si="7"/>
        <v>-1.243881865554195</v>
      </c>
      <c r="S20" s="29">
        <f t="shared" si="7"/>
        <v>-1.3420857642062882</v>
      </c>
      <c r="T20" s="29">
        <f t="shared" si="7"/>
        <v>-1.4460374234262059</v>
      </c>
      <c r="U20" s="29">
        <f t="shared" si="7"/>
        <v>-1.5561215444050871</v>
      </c>
      <c r="V20" s="29">
        <f t="shared" si="7"/>
        <v>-1.6727497793755757</v>
      </c>
    </row>
    <row r="22" spans="1:22" ht="15" customHeight="1" x14ac:dyDescent="0.25">
      <c r="A22" s="144" t="s">
        <v>484</v>
      </c>
      <c r="B22" s="144"/>
      <c r="C22" s="144"/>
      <c r="D22" s="144"/>
      <c r="E22" s="144"/>
      <c r="F22" s="144"/>
      <c r="G22" s="144"/>
      <c r="H22" s="144"/>
      <c r="I22" s="144"/>
      <c r="J22" s="144"/>
      <c r="K22" s="144"/>
      <c r="L22" s="144"/>
      <c r="M22" s="144"/>
      <c r="N22" s="144"/>
      <c r="O22" s="144"/>
      <c r="P22" s="144"/>
      <c r="Q22" s="144"/>
      <c r="R22" s="144"/>
      <c r="S22" s="144"/>
      <c r="T22" s="144"/>
      <c r="U22" s="144"/>
      <c r="V22" s="144"/>
    </row>
  </sheetData>
  <mergeCells count="4">
    <mergeCell ref="A1:V1"/>
    <mergeCell ref="A2:V2"/>
    <mergeCell ref="A18:V18"/>
    <mergeCell ref="A22:V22"/>
  </mergeCells>
  <pageMargins left="0.75" right="0.75" top="1" bottom="1"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C3483"/>
  </sheetPr>
  <dimension ref="A1:V22"/>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8" customWidth="1"/>
    <col min="2" max="2" width="11" customWidth="1"/>
    <col min="3" max="22" width="10.5703125" customWidth="1"/>
  </cols>
  <sheetData>
    <row r="1" spans="1:22" ht="30" customHeight="1" x14ac:dyDescent="0.25">
      <c r="A1" s="140" t="s">
        <v>485</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486</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467</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9.5" customHeight="1" x14ac:dyDescent="0.25">
      <c r="A4" s="142" t="s">
        <v>487</v>
      </c>
      <c r="B4" s="142"/>
      <c r="C4" s="142"/>
      <c r="D4" s="142"/>
      <c r="E4" s="142"/>
      <c r="F4" s="142"/>
      <c r="G4" s="142"/>
      <c r="H4" s="142"/>
      <c r="I4" s="142"/>
      <c r="J4" s="142"/>
      <c r="K4" s="142"/>
      <c r="L4" s="142"/>
      <c r="M4" s="142"/>
      <c r="N4" s="142"/>
      <c r="O4" s="142"/>
      <c r="P4" s="142"/>
      <c r="Q4" s="142"/>
      <c r="R4" s="142"/>
      <c r="S4" s="142"/>
      <c r="T4" s="142"/>
      <c r="U4" s="142"/>
      <c r="V4" s="142"/>
    </row>
    <row r="5" spans="1:22" ht="15" customHeight="1" x14ac:dyDescent="0.25">
      <c r="A5" s="14" t="s">
        <v>488</v>
      </c>
      <c r="B5" s="81">
        <f>'🏛 BALANCE SHEET'!B14</f>
        <v>0</v>
      </c>
      <c r="C5" s="81">
        <f>'🏛 BALANCE SHEET'!C14</f>
        <v>-25.304935962499982</v>
      </c>
      <c r="D5" s="81">
        <f>'🏛 BALANCE SHEET'!D14</f>
        <v>-74.073939470454533</v>
      </c>
      <c r="E5" s="81">
        <f>'🏛 BALANCE SHEET'!E14</f>
        <v>-119.29453464227272</v>
      </c>
      <c r="F5" s="81">
        <f>'🏛 BALANCE SHEET'!F14</f>
        <v>-160.98695245795454</v>
      </c>
      <c r="G5" s="81">
        <f>'🏛 BALANCE SHEET'!G14</f>
        <v>-199.17386740290002</v>
      </c>
      <c r="H5" s="81">
        <f>'🏛 BALANCE SHEET'!H14</f>
        <v>-233.88049100405112</v>
      </c>
      <c r="I5" s="81">
        <f>'🏛 BALANCE SHEET'!I14</f>
        <v>-250.9710583428963</v>
      </c>
      <c r="J5" s="81">
        <f>'🏛 BALANCE SHEET'!J14</f>
        <v>-230.23309220658811</v>
      </c>
      <c r="K5" s="81">
        <f>'🏛 BALANCE SHEET'!K14</f>
        <v>-211.49169151688812</v>
      </c>
      <c r="L5" s="81">
        <f>'🏛 BALANCE SHEET'!L14</f>
        <v>-194.78326016279325</v>
      </c>
      <c r="M5" s="81">
        <f>'🏛 BALANCE SHEET'!M14</f>
        <v>-285.71048514284359</v>
      </c>
      <c r="N5" s="81">
        <f>'🏛 BALANCE SHEET'!N14</f>
        <v>-266.39161845864646</v>
      </c>
      <c r="O5" s="81">
        <f>'🏛 BALANCE SHEET'!O14</f>
        <v>-263.65371456698949</v>
      </c>
      <c r="P5" s="81">
        <f>'🏛 BALANCE SHEET'!P14</f>
        <v>-262.97417503219964</v>
      </c>
      <c r="Q5" s="81">
        <f>'🏛 BALANCE SHEET'!Q14</f>
        <v>-264.40925777282632</v>
      </c>
      <c r="R5" s="81">
        <f>'🏛 BALANCE SHEET'!R14</f>
        <v>-268.0189668093322</v>
      </c>
      <c r="S5" s="81">
        <f>'🏛 BALANCE SHEET'!S14</f>
        <v>-273.8672209050693</v>
      </c>
      <c r="T5" s="81">
        <f>'🏛 BALANCE SHEET'!T14</f>
        <v>-282.02203101258607</v>
      </c>
      <c r="U5" s="81">
        <f>'🏛 BALANCE SHEET'!U14</f>
        <v>-292.55568695806664</v>
      </c>
      <c r="V5" s="81">
        <f>'🏛 BALANCE SHEET'!V14</f>
        <v>-305.54495381849239</v>
      </c>
    </row>
    <row r="6" spans="1:22" ht="15" customHeight="1" x14ac:dyDescent="0.25">
      <c r="A6" s="14" t="s">
        <v>489</v>
      </c>
      <c r="B6" s="81">
        <f>'🏛 BALANCE SHEET'!B29</f>
        <v>0</v>
      </c>
      <c r="C6" s="81">
        <f>'🏛 BALANCE SHEET'!C29</f>
        <v>50.092877545454542</v>
      </c>
      <c r="D6" s="81">
        <f>'🏛 BALANCE SHEET'!D29</f>
        <v>50.092877545454542</v>
      </c>
      <c r="E6" s="81">
        <f>'🏛 BALANCE SHEET'!E29</f>
        <v>50.092877545454542</v>
      </c>
      <c r="F6" s="81">
        <f>'🏛 BALANCE SHEET'!F29</f>
        <v>50.092877545454542</v>
      </c>
      <c r="G6" s="81">
        <f>'🏛 BALANCE SHEET'!G29</f>
        <v>50.092877545454549</v>
      </c>
      <c r="H6" s="81">
        <f>'🏛 BALANCE SHEET'!H29</f>
        <v>35.929265272727314</v>
      </c>
      <c r="I6" s="81">
        <f>'🏛 BALANCE SHEET'!I29</f>
        <v>0</v>
      </c>
      <c r="J6" s="81">
        <f>'🏛 BALANCE SHEET'!J29</f>
        <v>0</v>
      </c>
      <c r="K6" s="81">
        <f>'🏛 BALANCE SHEET'!K29</f>
        <v>0</v>
      </c>
      <c r="L6" s="81">
        <f>'🏛 BALANCE SHEET'!L29</f>
        <v>0</v>
      </c>
      <c r="M6" s="81">
        <f>'🏛 BALANCE SHEET'!M29</f>
        <v>0</v>
      </c>
      <c r="N6" s="81">
        <f>'🏛 BALANCE SHEET'!N29</f>
        <v>0</v>
      </c>
      <c r="O6" s="81">
        <f>'🏛 BALANCE SHEET'!O29</f>
        <v>0</v>
      </c>
      <c r="P6" s="81">
        <f>'🏛 BALANCE SHEET'!P29</f>
        <v>0</v>
      </c>
      <c r="Q6" s="81">
        <f>'🏛 BALANCE SHEET'!Q29</f>
        <v>0</v>
      </c>
      <c r="R6" s="81">
        <f>'🏛 BALANCE SHEET'!R29</f>
        <v>0</v>
      </c>
      <c r="S6" s="81">
        <f>'🏛 BALANCE SHEET'!S29</f>
        <v>0</v>
      </c>
      <c r="T6" s="81">
        <f>'🏛 BALANCE SHEET'!T29</f>
        <v>0</v>
      </c>
      <c r="U6" s="81">
        <f>'🏛 BALANCE SHEET'!U29</f>
        <v>0</v>
      </c>
      <c r="V6" s="81">
        <f>'🏛 BALANCE SHEET'!V29</f>
        <v>0</v>
      </c>
    </row>
    <row r="7" spans="1:22" ht="15" customHeight="1" x14ac:dyDescent="0.25">
      <c r="A7" s="63" t="s">
        <v>490</v>
      </c>
      <c r="B7" s="64">
        <f t="shared" ref="B7:V7" si="0">B5-B6</f>
        <v>0</v>
      </c>
      <c r="C7" s="64">
        <f t="shared" si="0"/>
        <v>-75.397813507954524</v>
      </c>
      <c r="D7" s="64">
        <f t="shared" si="0"/>
        <v>-124.16681701590907</v>
      </c>
      <c r="E7" s="64">
        <f t="shared" si="0"/>
        <v>-169.38741218772725</v>
      </c>
      <c r="F7" s="64">
        <f t="shared" si="0"/>
        <v>-211.07983000340909</v>
      </c>
      <c r="G7" s="64">
        <f t="shared" si="0"/>
        <v>-249.26674494835456</v>
      </c>
      <c r="H7" s="64">
        <f t="shared" si="0"/>
        <v>-269.80975627677844</v>
      </c>
      <c r="I7" s="64">
        <f t="shared" si="0"/>
        <v>-250.9710583428963</v>
      </c>
      <c r="J7" s="64">
        <f t="shared" si="0"/>
        <v>-230.23309220658811</v>
      </c>
      <c r="K7" s="64">
        <f t="shared" si="0"/>
        <v>-211.49169151688812</v>
      </c>
      <c r="L7" s="64">
        <f t="shared" si="0"/>
        <v>-194.78326016279325</v>
      </c>
      <c r="M7" s="64">
        <f t="shared" si="0"/>
        <v>-285.71048514284359</v>
      </c>
      <c r="N7" s="64">
        <f t="shared" si="0"/>
        <v>-266.39161845864646</v>
      </c>
      <c r="O7" s="64">
        <f t="shared" si="0"/>
        <v>-263.65371456698949</v>
      </c>
      <c r="P7" s="64">
        <f t="shared" si="0"/>
        <v>-262.97417503219964</v>
      </c>
      <c r="Q7" s="64">
        <f t="shared" si="0"/>
        <v>-264.40925777282632</v>
      </c>
      <c r="R7" s="64">
        <f t="shared" si="0"/>
        <v>-268.0189668093322</v>
      </c>
      <c r="S7" s="64">
        <f t="shared" si="0"/>
        <v>-273.8672209050693</v>
      </c>
      <c r="T7" s="64">
        <f t="shared" si="0"/>
        <v>-282.02203101258607</v>
      </c>
      <c r="U7" s="64">
        <f t="shared" si="0"/>
        <v>-292.55568695806664</v>
      </c>
      <c r="V7" s="64">
        <f t="shared" si="0"/>
        <v>-305.54495381849239</v>
      </c>
    </row>
    <row r="8" spans="1:22" ht="15" customHeight="1" x14ac:dyDescent="0.25">
      <c r="A8" s="133" t="s">
        <v>491</v>
      </c>
      <c r="B8" s="134">
        <f t="shared" ref="B8:V8" si="1">IFERROR(B5/B6,0)</f>
        <v>0</v>
      </c>
      <c r="C8" s="134">
        <f t="shared" si="1"/>
        <v>-0.50516035816744909</v>
      </c>
      <c r="D8" s="134">
        <f t="shared" si="1"/>
        <v>-1.4787319694948537</v>
      </c>
      <c r="E8" s="134">
        <f t="shared" si="1"/>
        <v>-2.3814669966608375</v>
      </c>
      <c r="F8" s="134">
        <f t="shared" si="1"/>
        <v>-3.2137693090574428</v>
      </c>
      <c r="G8" s="134">
        <f t="shared" si="1"/>
        <v>-3.9760915555743144</v>
      </c>
      <c r="H8" s="134">
        <f t="shared" si="1"/>
        <v>-6.5094704617180659</v>
      </c>
      <c r="I8" s="134">
        <f t="shared" si="1"/>
        <v>0</v>
      </c>
      <c r="J8" s="134">
        <f t="shared" si="1"/>
        <v>0</v>
      </c>
      <c r="K8" s="134">
        <f t="shared" si="1"/>
        <v>0</v>
      </c>
      <c r="L8" s="134">
        <f t="shared" si="1"/>
        <v>0</v>
      </c>
      <c r="M8" s="134">
        <f t="shared" si="1"/>
        <v>0</v>
      </c>
      <c r="N8" s="134">
        <f t="shared" si="1"/>
        <v>0</v>
      </c>
      <c r="O8" s="134">
        <f t="shared" si="1"/>
        <v>0</v>
      </c>
      <c r="P8" s="134">
        <f t="shared" si="1"/>
        <v>0</v>
      </c>
      <c r="Q8" s="134">
        <f t="shared" si="1"/>
        <v>0</v>
      </c>
      <c r="R8" s="134">
        <f t="shared" si="1"/>
        <v>0</v>
      </c>
      <c r="S8" s="134">
        <f t="shared" si="1"/>
        <v>0</v>
      </c>
      <c r="T8" s="134">
        <f t="shared" si="1"/>
        <v>0</v>
      </c>
      <c r="U8" s="134">
        <f t="shared" si="1"/>
        <v>0</v>
      </c>
      <c r="V8" s="134">
        <f t="shared" si="1"/>
        <v>0</v>
      </c>
    </row>
    <row r="10" spans="1:22" ht="19.5" customHeight="1" x14ac:dyDescent="0.25">
      <c r="A10" s="143" t="s">
        <v>492</v>
      </c>
      <c r="B10" s="143"/>
      <c r="C10" s="143"/>
      <c r="D10" s="143"/>
      <c r="E10" s="143"/>
      <c r="F10" s="143"/>
      <c r="G10" s="143"/>
      <c r="H10" s="143"/>
      <c r="I10" s="143"/>
      <c r="J10" s="143"/>
      <c r="K10" s="143"/>
      <c r="L10" s="143"/>
      <c r="M10" s="143"/>
      <c r="N10" s="143"/>
      <c r="O10" s="143"/>
      <c r="P10" s="143"/>
      <c r="Q10" s="143"/>
      <c r="R10" s="143"/>
      <c r="S10" s="143"/>
      <c r="T10" s="143"/>
      <c r="U10" s="143"/>
      <c r="V10" s="143"/>
    </row>
    <row r="11" spans="1:22" ht="15" customHeight="1" x14ac:dyDescent="0.25">
      <c r="A11" s="68" t="s">
        <v>493</v>
      </c>
      <c r="B11" s="86">
        <f>'🏛 BALANCE SHEET'!B21</f>
        <v>236.15213700000004</v>
      </c>
      <c r="C11" s="86">
        <f>'🏛 BALANCE SHEET'!C21</f>
        <v>186.68784601250005</v>
      </c>
      <c r="D11" s="86">
        <f>'🏛 BALANCE SHEET'!D21</f>
        <v>163.85236502500004</v>
      </c>
      <c r="E11" s="86">
        <f>'🏛 BALANCE SHEET'!E21</f>
        <v>144.5652923736364</v>
      </c>
      <c r="F11" s="86">
        <f>'🏛 BALANCE SHEET'!F21</f>
        <v>128.80639707840913</v>
      </c>
      <c r="G11" s="86">
        <f>'🏛 BALANCE SHEET'!G21</f>
        <v>116.55300465391821</v>
      </c>
      <c r="H11" s="86">
        <f>'🏛 BALANCE SHEET'!H21</f>
        <v>107.77990357322165</v>
      </c>
      <c r="I11" s="86">
        <f>'🏛 BALANCE SHEET'!I21</f>
        <v>102.45924648210379</v>
      </c>
      <c r="J11" s="86">
        <f>'🏛 BALANCE SHEET'!J21</f>
        <v>99.037857593411985</v>
      </c>
      <c r="K11" s="86">
        <f>'🏛 BALANCE SHEET'!K21</f>
        <v>93.619903258111975</v>
      </c>
      <c r="L11" s="86">
        <f>'🏛 BALANCE SHEET'!L21</f>
        <v>86.168979587206849</v>
      </c>
      <c r="M11" s="86">
        <f>'🏛 BALANCE SHEET'!M21</f>
        <v>72.332399582156512</v>
      </c>
      <c r="N11" s="86">
        <f>'🏛 BALANCE SHEET'!N21</f>
        <v>56.241911241353648</v>
      </c>
      <c r="O11" s="86">
        <f>'🏛 BALANCE SHEET'!O21</f>
        <v>23.57046010801065</v>
      </c>
      <c r="P11" s="86">
        <f>'🏛 BALANCE SHEET'!P21</f>
        <v>-11.159355382199522</v>
      </c>
      <c r="Q11" s="86">
        <f>'🏛 BALANCE SHEET'!Q21</f>
        <v>-48.003793147826173</v>
      </c>
      <c r="R11" s="86">
        <f>'🏛 BALANCE SHEET'!R21</f>
        <v>-87.022857209332074</v>
      </c>
      <c r="S11" s="86">
        <f>'🏛 BALANCE SHEET'!S21</f>
        <v>-128.28046633006915</v>
      </c>
      <c r="T11" s="86">
        <f>'🏛 BALANCE SHEET'!T21</f>
        <v>-171.84463146258588</v>
      </c>
      <c r="U11" s="86">
        <f>'🏛 BALANCE SHEET'!U21</f>
        <v>-217.78764243306642</v>
      </c>
      <c r="V11" s="86">
        <f>'🏛 BALANCE SHEET'!V21</f>
        <v>-266.18626431849219</v>
      </c>
    </row>
    <row r="12" spans="1:22" ht="15" customHeight="1" x14ac:dyDescent="0.25">
      <c r="A12" s="68" t="s">
        <v>494</v>
      </c>
      <c r="B12" s="86">
        <f>'🏛 BALANCE SHEET'!B25+'🏛 BALANCE SHEET'!B29</f>
        <v>551.02165300000001</v>
      </c>
      <c r="C12" s="86">
        <f>'🏛 BALANCE SHEET'!C25+'🏛 BALANCE SHEET'!C29</f>
        <v>537.79025300000001</v>
      </c>
      <c r="D12" s="86">
        <f>'🏛 BALANCE SHEET'!D25+'🏛 BALANCE SHEET'!D29</f>
        <v>474.46597545454546</v>
      </c>
      <c r="E12" s="86">
        <f>'🏛 BALANCE SHEET'!E25+'🏛 BALANCE SHEET'!E29</f>
        <v>411.14169790909091</v>
      </c>
      <c r="F12" s="86">
        <f>'🏛 BALANCE SHEET'!F25+'🏛 BALANCE SHEET'!F29</f>
        <v>347.81742036363636</v>
      </c>
      <c r="G12" s="86">
        <f>'🏛 BALANCE SHEET'!G25+'🏛 BALANCE SHEET'!G29</f>
        <v>284.49314281818181</v>
      </c>
      <c r="H12" s="86">
        <f>'🏛 BALANCE SHEET'!H25+'🏛 BALANCE SHEET'!H29</f>
        <v>221.16886527272726</v>
      </c>
      <c r="I12" s="86">
        <f>'🏛 BALANCE SHEET'!I25+'🏛 BALANCE SHEET'!I29</f>
        <v>172.00819999999993</v>
      </c>
      <c r="J12" s="86">
        <f>'🏛 BALANCE SHEET'!J25+'🏛 BALANCE SHEET'!J29</f>
        <v>158.77679999999992</v>
      </c>
      <c r="K12" s="86">
        <f>'🏛 BALANCE SHEET'!K25+'🏛 BALANCE SHEET'!K29</f>
        <v>145.54539999999992</v>
      </c>
      <c r="L12" s="86">
        <f>'🏛 BALANCE SHEET'!L25+'🏛 BALANCE SHEET'!L29</f>
        <v>132.31399999999991</v>
      </c>
      <c r="M12" s="86">
        <f>'🏛 BALANCE SHEET'!M25+'🏛 BALANCE SHEET'!M29</f>
        <v>119.08259999999991</v>
      </c>
      <c r="N12" s="86">
        <f>'🏛 BALANCE SHEET'!N25+'🏛 BALANCE SHEET'!N29</f>
        <v>105.85119999999992</v>
      </c>
      <c r="O12" s="86">
        <f>'🏛 BALANCE SHEET'!O25+'🏛 BALANCE SHEET'!O29</f>
        <v>92.619799999999927</v>
      </c>
      <c r="P12" s="86">
        <f>'🏛 BALANCE SHEET'!P25+'🏛 BALANCE SHEET'!P29</f>
        <v>79.388399999999933</v>
      </c>
      <c r="Q12" s="86">
        <f>'🏛 BALANCE SHEET'!Q25+'🏛 BALANCE SHEET'!Q29</f>
        <v>66.15699999999994</v>
      </c>
      <c r="R12" s="86">
        <f>'🏛 BALANCE SHEET'!R25+'🏛 BALANCE SHEET'!R29</f>
        <v>52.925599999999939</v>
      </c>
      <c r="S12" s="86">
        <f>'🏛 BALANCE SHEET'!S25+'🏛 BALANCE SHEET'!S29</f>
        <v>39.694199999999938</v>
      </c>
      <c r="T12" s="86">
        <f>'🏛 BALANCE SHEET'!T25+'🏛 BALANCE SHEET'!T29</f>
        <v>26.462799999999937</v>
      </c>
      <c r="U12" s="86">
        <f>'🏛 BALANCE SHEET'!U25+'🏛 BALANCE SHEET'!U29</f>
        <v>13.231399999999939</v>
      </c>
      <c r="V12" s="86">
        <f>'🏛 BALANCE SHEET'!V25+'🏛 BALANCE SHEET'!V29</f>
        <v>-6.0396132539608516E-14</v>
      </c>
    </row>
    <row r="13" spans="1:22" ht="15" customHeight="1" x14ac:dyDescent="0.25">
      <c r="A13" s="133" t="s">
        <v>495</v>
      </c>
      <c r="B13" s="134">
        <f t="shared" ref="B13:V13" si="2">IFERROR(B12/B11,0)</f>
        <v>2.333333333333333</v>
      </c>
      <c r="C13" s="134">
        <f t="shared" si="2"/>
        <v>2.8806923668935105</v>
      </c>
      <c r="D13" s="134">
        <f t="shared" si="2"/>
        <v>2.8956919564887151</v>
      </c>
      <c r="E13" s="134">
        <f t="shared" si="2"/>
        <v>2.8439862096807729</v>
      </c>
      <c r="F13" s="134">
        <f t="shared" si="2"/>
        <v>2.7003116945496677</v>
      </c>
      <c r="G13" s="134">
        <f t="shared" si="2"/>
        <v>2.4408906802782959</v>
      </c>
      <c r="H13" s="134">
        <f t="shared" si="2"/>
        <v>2.0520417808916798</v>
      </c>
      <c r="I13" s="134">
        <f t="shared" si="2"/>
        <v>1.6787962619854326</v>
      </c>
      <c r="J13" s="134">
        <f t="shared" si="2"/>
        <v>1.6031929997096563</v>
      </c>
      <c r="K13" s="134">
        <f t="shared" si="2"/>
        <v>1.5546416406640402</v>
      </c>
      <c r="L13" s="134">
        <f t="shared" si="2"/>
        <v>1.5355177772076578</v>
      </c>
      <c r="M13" s="134">
        <f t="shared" si="2"/>
        <v>1.6463244782131641</v>
      </c>
      <c r="N13" s="134">
        <f t="shared" si="2"/>
        <v>1.8820697530308941</v>
      </c>
      <c r="O13" s="134">
        <f t="shared" si="2"/>
        <v>3.9294862966430677</v>
      </c>
      <c r="P13" s="134">
        <f t="shared" si="2"/>
        <v>-7.1140668328059276</v>
      </c>
      <c r="Q13" s="134">
        <f t="shared" si="2"/>
        <v>-1.3781619255851623</v>
      </c>
      <c r="R13" s="134">
        <f t="shared" si="2"/>
        <v>-0.60818044473865374</v>
      </c>
      <c r="S13" s="134">
        <f t="shared" si="2"/>
        <v>-0.3094329256479757</v>
      </c>
      <c r="T13" s="134">
        <f t="shared" si="2"/>
        <v>-0.153992590718561</v>
      </c>
      <c r="U13" s="134">
        <f t="shared" si="2"/>
        <v>-6.0753676619032228E-2</v>
      </c>
      <c r="V13" s="134">
        <f t="shared" si="2"/>
        <v>2.2689424901107771E-16</v>
      </c>
    </row>
    <row r="14" spans="1:22" ht="15" customHeight="1" x14ac:dyDescent="0.25">
      <c r="A14" s="133" t="s">
        <v>496</v>
      </c>
      <c r="B14" s="134">
        <f>IFERROR(('🏛 BALANCE SHEET'!B25+'🏛 BALANCE SHEET'!B29)/'🏛 BALANCE SHEET'!B21,0)</f>
        <v>2.333333333333333</v>
      </c>
      <c r="C14" s="134">
        <f>IFERROR(('🏛 BALANCE SHEET'!C25+'🏛 BALANCE SHEET'!C29)/'🏛 BALANCE SHEET'!C21,0)</f>
        <v>2.8806923668935105</v>
      </c>
      <c r="D14" s="134">
        <f>IFERROR(('🏛 BALANCE SHEET'!D25+'🏛 BALANCE SHEET'!D29)/'🏛 BALANCE SHEET'!D21,0)</f>
        <v>2.8956919564887151</v>
      </c>
      <c r="E14" s="134">
        <f>IFERROR(('🏛 BALANCE SHEET'!E25+'🏛 BALANCE SHEET'!E29)/'🏛 BALANCE SHEET'!E21,0)</f>
        <v>2.8439862096807729</v>
      </c>
      <c r="F14" s="134">
        <f>IFERROR(('🏛 BALANCE SHEET'!F25+'🏛 BALANCE SHEET'!F29)/'🏛 BALANCE SHEET'!F21,0)</f>
        <v>2.7003116945496677</v>
      </c>
      <c r="G14" s="134">
        <f>IFERROR(('🏛 BALANCE SHEET'!G25+'🏛 BALANCE SHEET'!G29)/'🏛 BALANCE SHEET'!G21,0)</f>
        <v>2.4408906802782959</v>
      </c>
      <c r="H14" s="134">
        <f>IFERROR(('🏛 BALANCE SHEET'!H25+'🏛 BALANCE SHEET'!H29)/'🏛 BALANCE SHEET'!H21,0)</f>
        <v>2.0520417808916798</v>
      </c>
      <c r="I14" s="134">
        <f>IFERROR(('🏛 BALANCE SHEET'!I25+'🏛 BALANCE SHEET'!I29)/'🏛 BALANCE SHEET'!I21,0)</f>
        <v>1.6787962619854326</v>
      </c>
      <c r="J14" s="134">
        <f>IFERROR(('🏛 BALANCE SHEET'!J25+'🏛 BALANCE SHEET'!J29)/'🏛 BALANCE SHEET'!J21,0)</f>
        <v>1.6031929997096563</v>
      </c>
      <c r="K14" s="134">
        <f>IFERROR(('🏛 BALANCE SHEET'!K25+'🏛 BALANCE SHEET'!K29)/'🏛 BALANCE SHEET'!K21,0)</f>
        <v>1.5546416406640402</v>
      </c>
      <c r="L14" s="134">
        <f>IFERROR(('🏛 BALANCE SHEET'!L25+'🏛 BALANCE SHEET'!L29)/'🏛 BALANCE SHEET'!L21,0)</f>
        <v>1.5355177772076578</v>
      </c>
      <c r="M14" s="134">
        <f>IFERROR(('🏛 BALANCE SHEET'!M25+'🏛 BALANCE SHEET'!M29)/'🏛 BALANCE SHEET'!M21,0)</f>
        <v>1.6463244782131641</v>
      </c>
      <c r="N14" s="134">
        <f>IFERROR(('🏛 BALANCE SHEET'!N25+'🏛 BALANCE SHEET'!N29)/'🏛 BALANCE SHEET'!N21,0)</f>
        <v>1.8820697530308941</v>
      </c>
      <c r="O14" s="134">
        <f>IFERROR(('🏛 BALANCE SHEET'!O25+'🏛 BALANCE SHEET'!O29)/'🏛 BALANCE SHEET'!O21,0)</f>
        <v>3.9294862966430677</v>
      </c>
      <c r="P14" s="134">
        <f>IFERROR(('🏛 BALANCE SHEET'!P25+'🏛 BALANCE SHEET'!P29)/'🏛 BALANCE SHEET'!P21,0)</f>
        <v>-7.1140668328059276</v>
      </c>
      <c r="Q14" s="134">
        <f>IFERROR(('🏛 BALANCE SHEET'!Q25+'🏛 BALANCE SHEET'!Q29)/'🏛 BALANCE SHEET'!Q21,0)</f>
        <v>-1.3781619255851623</v>
      </c>
      <c r="R14" s="134">
        <f>IFERROR(('🏛 BALANCE SHEET'!R25+'🏛 BALANCE SHEET'!R29)/'🏛 BALANCE SHEET'!R21,0)</f>
        <v>-0.60818044473865374</v>
      </c>
      <c r="S14" s="134">
        <f>IFERROR(('🏛 BALANCE SHEET'!S25+'🏛 BALANCE SHEET'!S29)/'🏛 BALANCE SHEET'!S21,0)</f>
        <v>-0.3094329256479757</v>
      </c>
      <c r="T14" s="134">
        <f>IFERROR(('🏛 BALANCE SHEET'!T25+'🏛 BALANCE SHEET'!T29)/'🏛 BALANCE SHEET'!T21,0)</f>
        <v>-0.153992590718561</v>
      </c>
      <c r="U14" s="134">
        <f>IFERROR(('🏛 BALANCE SHEET'!U25+'🏛 BALANCE SHEET'!U29)/'🏛 BALANCE SHEET'!U21,0)</f>
        <v>-6.0753676619032228E-2</v>
      </c>
      <c r="V14" s="134">
        <f>IFERROR(('🏛 BALANCE SHEET'!V25+'🏛 BALANCE SHEET'!V29)/'🏛 BALANCE SHEET'!V21,0)</f>
        <v>2.2689424901107771E-16</v>
      </c>
    </row>
    <row r="15" spans="1:22" ht="15" customHeight="1" x14ac:dyDescent="0.25">
      <c r="A15" s="133" t="s">
        <v>497</v>
      </c>
      <c r="B15" s="33"/>
      <c r="C15" s="134">
        <f>IFERROR('📈 P&amp;L'!C15/'📈 P&amp;L'!C21,0)</f>
        <v>0.57280307977382716</v>
      </c>
      <c r="D15" s="134">
        <f>IFERROR('📈 P&amp;L'!D15/'📈 P&amp;L'!D21,0)</f>
        <v>1.0430006293665364</v>
      </c>
      <c r="E15" s="134">
        <f>IFERROR('📈 P&amp;L'!E15/'📈 P&amp;L'!E21,0)</f>
        <v>1.1918045206448233</v>
      </c>
      <c r="F15" s="134">
        <f>IFERROR('📈 P&amp;L'!F15/'📈 P&amp;L'!F21,0)</f>
        <v>1.4196589528006864</v>
      </c>
      <c r="G15" s="134">
        <f>IFERROR('📈 P&amp;L'!G15/'📈 P&amp;L'!G21,0)</f>
        <v>1.8136731726885891</v>
      </c>
      <c r="H15" s="134">
        <f>IFERROR('📈 P&amp;L'!H15/'📈 P&amp;L'!H21,0)</f>
        <v>2.6638500155763039</v>
      </c>
      <c r="I15" s="134">
        <f>IFERROR('📈 P&amp;L'!I15/'📈 P&amp;L'!I21,0)</f>
        <v>5.8774641056618844</v>
      </c>
      <c r="J15" s="134">
        <f>IFERROR('📈 P&amp;L'!J15/'📈 P&amp;L'!J21,0)</f>
        <v>0</v>
      </c>
      <c r="K15" s="134">
        <f>IFERROR('📈 P&amp;L'!K15/'📈 P&amp;L'!K21,0)</f>
        <v>0</v>
      </c>
      <c r="L15" s="134">
        <f>IFERROR('📈 P&amp;L'!L15/'📈 P&amp;L'!L21,0)</f>
        <v>0</v>
      </c>
      <c r="M15" s="134">
        <f>IFERROR('📈 P&amp;L'!M15/'📈 P&amp;L'!M21,0)</f>
        <v>0</v>
      </c>
      <c r="N15" s="134">
        <f>IFERROR('📈 P&amp;L'!N15/'📈 P&amp;L'!N21,0)</f>
        <v>0</v>
      </c>
      <c r="O15" s="134">
        <f>IFERROR('📈 P&amp;L'!O15/'📈 P&amp;L'!O21,0)</f>
        <v>0</v>
      </c>
      <c r="P15" s="134">
        <f>IFERROR('📈 P&amp;L'!P15/'📈 P&amp;L'!P21,0)</f>
        <v>0</v>
      </c>
      <c r="Q15" s="134">
        <f>IFERROR('📈 P&amp;L'!Q15/'📈 P&amp;L'!Q21,0)</f>
        <v>0</v>
      </c>
      <c r="R15" s="134">
        <f>IFERROR('📈 P&amp;L'!R15/'📈 P&amp;L'!R21,0)</f>
        <v>0</v>
      </c>
      <c r="S15" s="134">
        <f>IFERROR('📈 P&amp;L'!S15/'📈 P&amp;L'!S21,0)</f>
        <v>0</v>
      </c>
      <c r="T15" s="134">
        <f>IFERROR('📈 P&amp;L'!T15/'📈 P&amp;L'!T21,0)</f>
        <v>0</v>
      </c>
      <c r="U15" s="134">
        <f>IFERROR('📈 P&amp;L'!U15/'📈 P&amp;L'!U21,0)</f>
        <v>0</v>
      </c>
      <c r="V15" s="134">
        <f>IFERROR('📈 P&amp;L'!V15/'📈 P&amp;L'!V21,0)</f>
        <v>0</v>
      </c>
    </row>
    <row r="16" spans="1:22" ht="15" customHeight="1" x14ac:dyDescent="0.25">
      <c r="A16" s="133" t="s">
        <v>498</v>
      </c>
      <c r="B16" s="33"/>
      <c r="C16" s="135">
        <f>'🎯 DSCR &amp; DEBT SERVICE'!C8</f>
        <v>0.57280307977382716</v>
      </c>
      <c r="D16" s="135">
        <f>'🎯 DSCR &amp; DEBT SERVICE'!D8</f>
        <v>0.39702168916063785</v>
      </c>
      <c r="E16" s="135">
        <f>'🎯 DSCR &amp; DEBT SERVICE'!E8</f>
        <v>0.40101372486219272</v>
      </c>
      <c r="F16" s="135">
        <f>'🎯 DSCR &amp; DEBT SERVICE'!F8</f>
        <v>0.40533043672809277</v>
      </c>
      <c r="G16" s="135">
        <f>'🎯 DSCR &amp; DEBT SERVICE'!G8</f>
        <v>0.41001510961415666</v>
      </c>
      <c r="H16" s="135">
        <f>'🎯 DSCR &amp; DEBT SERVICE'!H8</f>
        <v>0.41512516409064026</v>
      </c>
      <c r="I16" s="135">
        <f>'🎯 DSCR &amp; DEBT SERVICE'!I8</f>
        <v>0.57049877323580367</v>
      </c>
      <c r="J16" s="135">
        <f>'🎯 DSCR &amp; DEBT SERVICE'!J8</f>
        <v>0</v>
      </c>
      <c r="K16" s="135">
        <f>'🎯 DSCR &amp; DEBT SERVICE'!K8</f>
        <v>0</v>
      </c>
      <c r="L16" s="135">
        <f>'🎯 DSCR &amp; DEBT SERVICE'!L8</f>
        <v>0</v>
      </c>
      <c r="M16" s="135">
        <f>'🎯 DSCR &amp; DEBT SERVICE'!M8</f>
        <v>0</v>
      </c>
      <c r="N16" s="135">
        <f>'🎯 DSCR &amp; DEBT SERVICE'!N8</f>
        <v>0</v>
      </c>
      <c r="O16" s="135">
        <f>'🎯 DSCR &amp; DEBT SERVICE'!O8</f>
        <v>0</v>
      </c>
      <c r="P16" s="135">
        <f>'🎯 DSCR &amp; DEBT SERVICE'!P8</f>
        <v>0</v>
      </c>
      <c r="Q16" s="135">
        <f>'🎯 DSCR &amp; DEBT SERVICE'!Q8</f>
        <v>0</v>
      </c>
      <c r="R16" s="135">
        <f>'🎯 DSCR &amp; DEBT SERVICE'!R8</f>
        <v>0</v>
      </c>
      <c r="S16" s="135">
        <f>'🎯 DSCR &amp; DEBT SERVICE'!S8</f>
        <v>0</v>
      </c>
      <c r="T16" s="135">
        <f>'🎯 DSCR &amp; DEBT SERVICE'!T8</f>
        <v>0</v>
      </c>
      <c r="U16" s="135">
        <f>'🎯 DSCR &amp; DEBT SERVICE'!U8</f>
        <v>0</v>
      </c>
      <c r="V16" s="135">
        <f>'🎯 DSCR &amp; DEBT SERVICE'!V8</f>
        <v>0</v>
      </c>
    </row>
    <row r="18" spans="1:22" ht="19.5" customHeight="1" x14ac:dyDescent="0.25">
      <c r="A18" s="154" t="s">
        <v>499</v>
      </c>
      <c r="B18" s="154"/>
      <c r="C18" s="154"/>
      <c r="D18" s="154"/>
      <c r="E18" s="154"/>
      <c r="F18" s="154"/>
      <c r="G18" s="154"/>
      <c r="H18" s="154"/>
      <c r="I18" s="154"/>
      <c r="J18" s="154"/>
      <c r="K18" s="154"/>
      <c r="L18" s="154"/>
      <c r="M18" s="154"/>
      <c r="N18" s="154"/>
      <c r="O18" s="154"/>
      <c r="P18" s="154"/>
      <c r="Q18" s="154"/>
      <c r="R18" s="154"/>
      <c r="S18" s="154"/>
      <c r="T18" s="154"/>
      <c r="U18" s="154"/>
      <c r="V18" s="154"/>
    </row>
    <row r="19" spans="1:22" ht="15" customHeight="1" x14ac:dyDescent="0.25">
      <c r="A19" s="42" t="s">
        <v>500</v>
      </c>
      <c r="B19" s="33"/>
      <c r="C19" s="60">
        <f>IFERROR('📈 P&amp;L'!C19/('🏛 BALANCE SHEET'!C21+'🏛 BALANCE SHEET'!C25),0)</f>
        <v>-5.1318789021967282E-3</v>
      </c>
      <c r="D19" s="60">
        <f>IFERROR('📈 P&amp;L'!D19/('🏛 BALANCE SHEET'!D21+'🏛 BALANCE SHEET'!D25),0)</f>
        <v>-8.9754075990953024E-3</v>
      </c>
      <c r="E19" s="60">
        <f>IFERROR('📈 P&amp;L'!E19/('🏛 BALANCE SHEET'!E21+'🏛 BALANCE SHEET'!E25),0)</f>
        <v>-1.4074249730639319E-2</v>
      </c>
      <c r="F19" s="60">
        <f>IFERROR('📈 P&amp;L'!F19/('🏛 BALANCE SHEET'!F21+'🏛 BALANCE SHEET'!F25),0)</f>
        <v>-2.1037034903436128E-2</v>
      </c>
      <c r="G19" s="60">
        <f>IFERROR('📈 P&amp;L'!G19/('🏛 BALANCE SHEET'!G21+'🏛 BALANCE SHEET'!G25),0)</f>
        <v>-3.0922714404878805E-2</v>
      </c>
      <c r="H19" s="60">
        <f>IFERROR('📈 P&amp;L'!H19/('🏛 BALANCE SHEET'!H21+'🏛 BALANCE SHEET'!H25),0)</f>
        <v>-4.3536763157999751E-2</v>
      </c>
      <c r="I19" s="60">
        <f>IFERROR('📈 P&amp;L'!I19/('🏛 BALANCE SHEET'!I21+'🏛 BALANCE SHEET'!I25),0)</f>
        <v>-5.3520595110930547E-2</v>
      </c>
      <c r="J19" s="60">
        <f>IFERROR('📈 P&amp;L'!J19/('🏛 BALANCE SHEET'!J21+'🏛 BALANCE SHEET'!J25),0)</f>
        <v>-6.459209512809852E-2</v>
      </c>
      <c r="K19" s="60">
        <f>IFERROR('📈 P&amp;L'!K19/('🏛 BALANCE SHEET'!K21+'🏛 BALANCE SHEET'!K25),0)</f>
        <v>-7.7976838952986627E-2</v>
      </c>
      <c r="L19" s="60">
        <f>IFERROR('📈 P&amp;L'!L19/('🏛 BALANCE SHEET'!L21+'🏛 BALANCE SHEET'!L25),0)</f>
        <v>-9.4663317526983148E-2</v>
      </c>
      <c r="M19" s="60">
        <f>IFERROR('📈 P&amp;L'!M19/('🏛 BALANCE SHEET'!M21+'🏛 BALANCE SHEET'!M25),0)</f>
        <v>-0.14140992118766851</v>
      </c>
      <c r="N19" s="60">
        <f>IFERROR('📈 P&amp;L'!N19/('🏛 BALANCE SHEET'!N21+'🏛 BALANCE SHEET'!N25),0)</f>
        <v>-0.18089533920502721</v>
      </c>
      <c r="O19" s="60">
        <f>IFERROR('📈 P&amp;L'!O19/('🏛 BALANCE SHEET'!O21+'🏛 BALANCE SHEET'!O25),0)</f>
        <v>-0.39506625676430773</v>
      </c>
      <c r="P19" s="60">
        <f>IFERROR('📈 P&amp;L'!P19/('🏛 BALANCE SHEET'!P21+'🏛 BALANCE SHEET'!P25),0)</f>
        <v>-0.7029442630902305</v>
      </c>
      <c r="Q19" s="60">
        <f>IFERROR('📈 P&amp;L'!Q19/('🏛 BALANCE SHEET'!Q21+'🏛 BALANCE SHEET'!Q25),0)</f>
        <v>-2.7585119352964513</v>
      </c>
      <c r="R19" s="60">
        <f>IFERROR('📈 P&amp;L'!R19/('🏛 BALANCE SHEET'!R21+'🏛 BALANCE SHEET'!R25),0)</f>
        <v>1.5323949296193058</v>
      </c>
      <c r="S19" s="60">
        <f>IFERROR('📈 P&amp;L'!S19/('🏛 BALANCE SHEET'!S21+'🏛 BALANCE SHEET'!S25),0)</f>
        <v>0.61509544738812028</v>
      </c>
      <c r="T19" s="60">
        <f>IFERROR('📈 P&amp;L'!T19/('🏛 BALANCE SHEET'!T21+'🏛 BALANCE SHEET'!T25),0)</f>
        <v>0.39066480701980366</v>
      </c>
      <c r="U19" s="60">
        <f>IFERROR('📈 P&amp;L'!U19/('🏛 BALANCE SHEET'!U21+'🏛 BALANCE SHEET'!U25),0)</f>
        <v>0.28928186334789174</v>
      </c>
      <c r="V19" s="60">
        <f>IFERROR('📈 P&amp;L'!V19/('🏛 BALANCE SHEET'!V21+'🏛 BALANCE SHEET'!V25),0)</f>
        <v>0.23152968483634959</v>
      </c>
    </row>
    <row r="20" spans="1:22" ht="15" customHeight="1" x14ac:dyDescent="0.25">
      <c r="A20" s="42" t="s">
        <v>501</v>
      </c>
      <c r="B20" s="33"/>
      <c r="C20" s="60">
        <f>IFERROR('📈 P&amp;L'!C25/'🏛 BALANCE SHEET'!C21,0)</f>
        <v>0</v>
      </c>
      <c r="D20" s="60">
        <f>IFERROR('📈 P&amp;L'!D25/'🏛 BALANCE SHEET'!D21,0)</f>
        <v>0</v>
      </c>
      <c r="E20" s="60">
        <f>IFERROR('📈 P&amp;L'!E25/'🏛 BALANCE SHEET'!E21,0)</f>
        <v>0</v>
      </c>
      <c r="F20" s="60">
        <f>IFERROR('📈 P&amp;L'!F25/'🏛 BALANCE SHEET'!F21,0)</f>
        <v>0</v>
      </c>
      <c r="G20" s="60">
        <f>IFERROR('📈 P&amp;L'!G25/'🏛 BALANCE SHEET'!G21,0)</f>
        <v>0</v>
      </c>
      <c r="H20" s="60">
        <f>IFERROR('📈 P&amp;L'!H25/'🏛 BALANCE SHEET'!H21,0)</f>
        <v>0</v>
      </c>
      <c r="I20" s="60">
        <f>IFERROR('📈 P&amp;L'!I25/'🏛 BALANCE SHEET'!I21,0)</f>
        <v>0</v>
      </c>
      <c r="J20" s="60">
        <f>IFERROR('📈 P&amp;L'!J25/'🏛 BALANCE SHEET'!J21,0)</f>
        <v>0</v>
      </c>
      <c r="K20" s="60">
        <f>IFERROR('📈 P&amp;L'!K25/'🏛 BALANCE SHEET'!K21,0)</f>
        <v>0</v>
      </c>
      <c r="L20" s="60">
        <f>IFERROR('📈 P&amp;L'!L25/'🏛 BALANCE SHEET'!L21,0)</f>
        <v>0</v>
      </c>
      <c r="M20" s="60">
        <f>IFERROR('📈 P&amp;L'!M25/'🏛 BALANCE SHEET'!M21,0)</f>
        <v>0</v>
      </c>
      <c r="N20" s="60">
        <f>IFERROR('📈 P&amp;L'!N25/'🏛 BALANCE SHEET'!N21,0)</f>
        <v>0</v>
      </c>
      <c r="O20" s="60">
        <f>IFERROR('📈 P&amp;L'!O25/'🏛 BALANCE SHEET'!O21,0)</f>
        <v>0</v>
      </c>
      <c r="P20" s="60">
        <f>IFERROR('📈 P&amp;L'!P25/'🏛 BALANCE SHEET'!P21,0)</f>
        <v>0</v>
      </c>
      <c r="Q20" s="60">
        <f>IFERROR('📈 P&amp;L'!Q25/'🏛 BALANCE SHEET'!Q21,0)</f>
        <v>0</v>
      </c>
      <c r="R20" s="60">
        <f>IFERROR('📈 P&amp;L'!R25/'🏛 BALANCE SHEET'!R21,0)</f>
        <v>0</v>
      </c>
      <c r="S20" s="60">
        <f>IFERROR('📈 P&amp;L'!S25/'🏛 BALANCE SHEET'!S21,0)</f>
        <v>0</v>
      </c>
      <c r="T20" s="60">
        <f>IFERROR('📈 P&amp;L'!T25/'🏛 BALANCE SHEET'!T21,0)</f>
        <v>0</v>
      </c>
      <c r="U20" s="60">
        <f>IFERROR('📈 P&amp;L'!U25/'🏛 BALANCE SHEET'!U21,0)</f>
        <v>0</v>
      </c>
      <c r="V20" s="60">
        <f>IFERROR('📈 P&amp;L'!V25/'🏛 BALANCE SHEET'!V21,0)</f>
        <v>0</v>
      </c>
    </row>
    <row r="22" spans="1:22" ht="15" customHeight="1" x14ac:dyDescent="0.25">
      <c r="A22" s="144" t="s">
        <v>502</v>
      </c>
      <c r="B22" s="144"/>
      <c r="C22" s="144"/>
      <c r="D22" s="144"/>
      <c r="E22" s="144"/>
      <c r="F22" s="144"/>
      <c r="G22" s="144"/>
      <c r="H22" s="144"/>
      <c r="I22" s="144"/>
      <c r="J22" s="144"/>
      <c r="K22" s="144"/>
      <c r="L22" s="144"/>
      <c r="M22" s="144"/>
      <c r="N22" s="144"/>
      <c r="O22" s="144"/>
      <c r="P22" s="144"/>
      <c r="Q22" s="144"/>
      <c r="R22" s="144"/>
      <c r="S22" s="144"/>
      <c r="T22" s="144"/>
      <c r="U22" s="144"/>
      <c r="V22" s="144"/>
    </row>
  </sheetData>
  <mergeCells count="6">
    <mergeCell ref="A22:V22"/>
    <mergeCell ref="A1:V1"/>
    <mergeCell ref="A2:V2"/>
    <mergeCell ref="A4:V4"/>
    <mergeCell ref="A10:V10"/>
    <mergeCell ref="A18:V18"/>
  </mergeCells>
  <pageMargins left="0.75" right="0.75" top="1" bottom="1"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117A65"/>
  </sheetPr>
  <dimension ref="A1:V19"/>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8" customWidth="1"/>
    <col min="2" max="2" width="11" customWidth="1"/>
    <col min="3" max="22" width="10.5703125" customWidth="1"/>
  </cols>
  <sheetData>
    <row r="1" spans="1:22" ht="30" customHeight="1" x14ac:dyDescent="0.25">
      <c r="A1" s="140" t="s">
        <v>503</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504</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467</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9.5" customHeight="1" x14ac:dyDescent="0.25">
      <c r="A4" s="142" t="s">
        <v>505</v>
      </c>
      <c r="B4" s="142"/>
      <c r="C4" s="142"/>
      <c r="D4" s="142"/>
      <c r="E4" s="142"/>
      <c r="F4" s="142"/>
      <c r="G4" s="142"/>
      <c r="H4" s="142"/>
      <c r="I4" s="142"/>
      <c r="J4" s="142"/>
      <c r="K4" s="142"/>
      <c r="L4" s="142"/>
      <c r="M4" s="142"/>
      <c r="N4" s="142"/>
      <c r="O4" s="142"/>
      <c r="P4" s="142"/>
      <c r="Q4" s="142"/>
      <c r="R4" s="142"/>
      <c r="S4" s="142"/>
      <c r="T4" s="142"/>
      <c r="U4" s="142"/>
      <c r="V4" s="142"/>
    </row>
    <row r="5" spans="1:22" ht="15" customHeight="1" x14ac:dyDescent="0.25">
      <c r="A5" s="14" t="s">
        <v>506</v>
      </c>
      <c r="B5" s="33"/>
      <c r="C5" s="81">
        <f>'📈 P&amp;L'!C26</f>
        <v>-49.4642909875</v>
      </c>
      <c r="D5" s="81">
        <f>'📈 P&amp;L'!D26</f>
        <v>-22.835480987499999</v>
      </c>
      <c r="E5" s="81">
        <f>'📈 P&amp;L'!E26</f>
        <v>-19.287072651363637</v>
      </c>
      <c r="F5" s="81">
        <f>'📈 P&amp;L'!F26</f>
        <v>-15.758895295227278</v>
      </c>
      <c r="G5" s="81">
        <f>'📈 P&amp;L'!G26</f>
        <v>-12.253392424490913</v>
      </c>
      <c r="H5" s="81">
        <f>'📈 P&amp;L'!H26</f>
        <v>-8.773101080696561</v>
      </c>
      <c r="I5" s="81">
        <f>'📈 P&amp;L'!I26</f>
        <v>-5.3206570911178588</v>
      </c>
      <c r="J5" s="81">
        <f>'📈 P&amp;L'!J26</f>
        <v>-3.4213888886918102</v>
      </c>
      <c r="K5" s="81">
        <f>'📈 P&amp;L'!K26</f>
        <v>-5.417954335300001</v>
      </c>
      <c r="L5" s="81">
        <f>'📈 P&amp;L'!L26</f>
        <v>-7.4509236709051319</v>
      </c>
      <c r="M5" s="81">
        <f>'📈 P&amp;L'!M26</f>
        <v>-13.836580005050346</v>
      </c>
      <c r="N5" s="81">
        <f>'📈 P&amp;L'!N26</f>
        <v>-16.090488340802864</v>
      </c>
      <c r="O5" s="81">
        <f>'📈 P&amp;L'!O26</f>
        <v>-32.671451133343005</v>
      </c>
      <c r="P5" s="81">
        <f>'📈 P&amp;L'!P26</f>
        <v>-34.729815490210164</v>
      </c>
      <c r="Q5" s="81">
        <f>'📈 P&amp;L'!Q26</f>
        <v>-36.844437765626658</v>
      </c>
      <c r="R5" s="81">
        <f>'📈 P&amp;L'!R26</f>
        <v>-39.01906406150588</v>
      </c>
      <c r="S5" s="81">
        <f>'📈 P&amp;L'!S26</f>
        <v>-41.257609120737094</v>
      </c>
      <c r="T5" s="81">
        <f>'📈 P&amp;L'!T26</f>
        <v>-43.564165132516756</v>
      </c>
      <c r="U5" s="81">
        <f>'📈 P&amp;L'!U26</f>
        <v>-45.94301097048055</v>
      </c>
      <c r="V5" s="81">
        <f>'📈 P&amp;L'!V26</f>
        <v>-48.398621885425754</v>
      </c>
    </row>
    <row r="6" spans="1:22" ht="15" customHeight="1" x14ac:dyDescent="0.25">
      <c r="A6" s="42" t="s">
        <v>507</v>
      </c>
      <c r="B6" s="40"/>
      <c r="C6" s="90">
        <f>'📈 P&amp;L'!C18</f>
        <v>37.390755024999997</v>
      </c>
      <c r="D6" s="90">
        <f>'📈 P&amp;L'!D18</f>
        <v>37.390755024999997</v>
      </c>
      <c r="E6" s="90">
        <f>'📈 P&amp;L'!E18</f>
        <v>37.390755024999997</v>
      </c>
      <c r="F6" s="90">
        <f>'📈 P&amp;L'!F18</f>
        <v>37.390755024999997</v>
      </c>
      <c r="G6" s="90">
        <f>'📈 P&amp;L'!G18</f>
        <v>37.390755024999997</v>
      </c>
      <c r="H6" s="90">
        <f>'📈 P&amp;L'!H18</f>
        <v>37.390755024999997</v>
      </c>
      <c r="I6" s="90">
        <f>'📈 P&amp;L'!I18</f>
        <v>37.390755024999997</v>
      </c>
      <c r="J6" s="90">
        <f>'📈 P&amp;L'!J18</f>
        <v>37.390755024999997</v>
      </c>
      <c r="K6" s="90">
        <f>'📈 P&amp;L'!K18</f>
        <v>37.390755024999997</v>
      </c>
      <c r="L6" s="90">
        <f>'📈 P&amp;L'!L18</f>
        <v>37.390755024999997</v>
      </c>
      <c r="M6" s="90">
        <f>'📈 P&amp;L'!M18</f>
        <v>48.640755024999997</v>
      </c>
      <c r="N6" s="90">
        <f>'📈 P&amp;L'!N18</f>
        <v>48.640755024999997</v>
      </c>
      <c r="O6" s="90">
        <f>'📈 P&amp;L'!O18</f>
        <v>48.640755024999997</v>
      </c>
      <c r="P6" s="90">
        <f>'📈 P&amp;L'!P18</f>
        <v>48.640755024999997</v>
      </c>
      <c r="Q6" s="90">
        <f>'📈 P&amp;L'!Q18</f>
        <v>48.640755024999997</v>
      </c>
      <c r="R6" s="90">
        <f>'📈 P&amp;L'!R18</f>
        <v>48.640755024999997</v>
      </c>
      <c r="S6" s="90">
        <f>'📈 P&amp;L'!S18</f>
        <v>48.640755024999997</v>
      </c>
      <c r="T6" s="90">
        <f>'📈 P&amp;L'!T18</f>
        <v>48.640755024999997</v>
      </c>
      <c r="U6" s="90">
        <f>'📈 P&amp;L'!U18</f>
        <v>48.640755024999997</v>
      </c>
      <c r="V6" s="90">
        <f>'📈 P&amp;L'!V18</f>
        <v>48.640755024999997</v>
      </c>
    </row>
    <row r="7" spans="1:22" ht="15" customHeight="1" x14ac:dyDescent="0.25">
      <c r="A7" s="42" t="s">
        <v>508</v>
      </c>
      <c r="B7" s="90">
        <f>'💰 CAPEX &amp; MOF'!$B$23</f>
        <v>551.02165300000001</v>
      </c>
      <c r="C7" s="72">
        <v>0</v>
      </c>
      <c r="D7" s="72">
        <v>0</v>
      </c>
      <c r="E7" s="72">
        <v>0</v>
      </c>
      <c r="F7" s="72">
        <v>0</v>
      </c>
      <c r="G7" s="72">
        <v>0</v>
      </c>
      <c r="H7" s="72">
        <v>0</v>
      </c>
      <c r="I7" s="72">
        <v>0</v>
      </c>
      <c r="J7" s="72">
        <v>0</v>
      </c>
      <c r="K7" s="72">
        <v>0</v>
      </c>
      <c r="L7" s="72">
        <v>0</v>
      </c>
      <c r="M7" s="72">
        <v>0</v>
      </c>
      <c r="N7" s="72">
        <v>0</v>
      </c>
      <c r="O7" s="72">
        <v>0</v>
      </c>
      <c r="P7" s="72">
        <v>0</v>
      </c>
      <c r="Q7" s="72">
        <v>0</v>
      </c>
      <c r="R7" s="72">
        <v>0</v>
      </c>
      <c r="S7" s="72">
        <v>0</v>
      </c>
      <c r="T7" s="72">
        <v>0</v>
      </c>
      <c r="U7" s="72">
        <v>0</v>
      </c>
      <c r="V7" s="72">
        <v>0</v>
      </c>
    </row>
    <row r="8" spans="1:22" ht="15" customHeight="1" x14ac:dyDescent="0.25">
      <c r="A8" s="45" t="s">
        <v>509</v>
      </c>
      <c r="B8" s="54">
        <f>'💰 CAPEX &amp; MOF'!$B$24</f>
        <v>236.15213700000004</v>
      </c>
      <c r="C8" s="72">
        <v>0</v>
      </c>
      <c r="D8" s="72">
        <v>0</v>
      </c>
      <c r="E8" s="72">
        <v>0</v>
      </c>
      <c r="F8" s="72">
        <v>0</v>
      </c>
      <c r="G8" s="72">
        <v>0</v>
      </c>
      <c r="H8" s="72">
        <v>0</v>
      </c>
      <c r="I8" s="72">
        <v>0</v>
      </c>
      <c r="J8" s="72">
        <v>0</v>
      </c>
      <c r="K8" s="72">
        <v>0</v>
      </c>
      <c r="L8" s="72">
        <v>0</v>
      </c>
      <c r="M8" s="72">
        <v>0</v>
      </c>
      <c r="N8" s="72">
        <v>0</v>
      </c>
      <c r="O8" s="72">
        <v>0</v>
      </c>
      <c r="P8" s="72">
        <v>0</v>
      </c>
      <c r="Q8" s="72">
        <v>0</v>
      </c>
      <c r="R8" s="72">
        <v>0</v>
      </c>
      <c r="S8" s="72">
        <v>0</v>
      </c>
      <c r="T8" s="72">
        <v>0</v>
      </c>
      <c r="U8" s="72">
        <v>0</v>
      </c>
      <c r="V8" s="72">
        <v>0</v>
      </c>
    </row>
    <row r="9" spans="1:22" ht="15" customHeight="1" x14ac:dyDescent="0.25">
      <c r="A9" s="45" t="s">
        <v>510</v>
      </c>
      <c r="B9" s="33"/>
      <c r="C9" s="80">
        <f>IF(1='💰 CAPEX &amp; MOF'!$B$31,'💰 CAPEX &amp; MOF'!$B$30,0)</f>
        <v>264.62799999999999</v>
      </c>
      <c r="D9" s="80">
        <f>IF(2='💰 CAPEX &amp; MOF'!$B$31,'💰 CAPEX &amp; MOF'!$B$30,0)</f>
        <v>0</v>
      </c>
      <c r="E9" s="80">
        <f>IF(3='💰 CAPEX &amp; MOF'!$B$31,'💰 CAPEX &amp; MOF'!$B$30,0)</f>
        <v>0</v>
      </c>
      <c r="F9" s="80">
        <f>IF(4='💰 CAPEX &amp; MOF'!$B$31,'💰 CAPEX &amp; MOF'!$B$30,0)</f>
        <v>0</v>
      </c>
      <c r="G9" s="80">
        <f>IF(5='💰 CAPEX &amp; MOF'!$B$31,'💰 CAPEX &amp; MOF'!$B$30,0)</f>
        <v>0</v>
      </c>
      <c r="H9" s="80">
        <f>IF(6='💰 CAPEX &amp; MOF'!$B$31,'💰 CAPEX &amp; MOF'!$B$30,0)</f>
        <v>0</v>
      </c>
      <c r="I9" s="80">
        <f>IF(7='💰 CAPEX &amp; MOF'!$B$31,'💰 CAPEX &amp; MOF'!$B$30,0)</f>
        <v>0</v>
      </c>
      <c r="J9" s="80">
        <f>IF(8='💰 CAPEX &amp; MOF'!$B$31,'💰 CAPEX &amp; MOF'!$B$30,0)</f>
        <v>0</v>
      </c>
      <c r="K9" s="80">
        <f>IF(9='💰 CAPEX &amp; MOF'!$B$31,'💰 CAPEX &amp; MOF'!$B$30,0)</f>
        <v>0</v>
      </c>
      <c r="L9" s="80">
        <f>IF(10='💰 CAPEX &amp; MOF'!$B$31,'💰 CAPEX &amp; MOF'!$B$30,0)</f>
        <v>0</v>
      </c>
      <c r="M9" s="80">
        <f>IF(11='💰 CAPEX &amp; MOF'!$B$31,'💰 CAPEX &amp; MOF'!$B$30,0)</f>
        <v>0</v>
      </c>
      <c r="N9" s="80">
        <f>IF(12='💰 CAPEX &amp; MOF'!$B$31,'💰 CAPEX &amp; MOF'!$B$30,0)</f>
        <v>0</v>
      </c>
      <c r="O9" s="80">
        <f>IF(13='💰 CAPEX &amp; MOF'!$B$31,'💰 CAPEX &amp; MOF'!$B$30,0)</f>
        <v>0</v>
      </c>
      <c r="P9" s="80">
        <f>IF(14='💰 CAPEX &amp; MOF'!$B$31,'💰 CAPEX &amp; MOF'!$B$30,0)</f>
        <v>0</v>
      </c>
      <c r="Q9" s="80">
        <f>IF(15='💰 CAPEX &amp; MOF'!$B$31,'💰 CAPEX &amp; MOF'!$B$30,0)</f>
        <v>0</v>
      </c>
      <c r="R9" s="80">
        <f>IF(16='💰 CAPEX &amp; MOF'!$B$31,'💰 CAPEX &amp; MOF'!$B$30,0)</f>
        <v>0</v>
      </c>
      <c r="S9" s="80">
        <f>IF(17='💰 CAPEX &amp; MOF'!$B$31,'💰 CAPEX &amp; MOF'!$B$30,0)</f>
        <v>0</v>
      </c>
      <c r="T9" s="80">
        <f>IF(18='💰 CAPEX &amp; MOF'!$B$31,'💰 CAPEX &amp; MOF'!$B$30,0)</f>
        <v>0</v>
      </c>
      <c r="U9" s="80">
        <f>IF(19='💰 CAPEX &amp; MOF'!$B$31,'💰 CAPEX &amp; MOF'!$B$30,0)</f>
        <v>0</v>
      </c>
      <c r="V9" s="80">
        <f>IF(20='💰 CAPEX &amp; MOF'!$B$31,'💰 CAPEX &amp; MOF'!$B$30,0)</f>
        <v>0</v>
      </c>
    </row>
    <row r="10" spans="1:22" ht="15" customHeight="1" x14ac:dyDescent="0.25">
      <c r="A10" s="82" t="s">
        <v>511</v>
      </c>
      <c r="B10" s="83">
        <f>B7+B8</f>
        <v>787.17379000000005</v>
      </c>
      <c r="C10" s="83">
        <f t="shared" ref="C10:V10" si="0">C5+C6+C7+C8+C9</f>
        <v>252.5544640375</v>
      </c>
      <c r="D10" s="83">
        <f t="shared" si="0"/>
        <v>14.555274037499998</v>
      </c>
      <c r="E10" s="83">
        <f t="shared" si="0"/>
        <v>18.10368237363636</v>
      </c>
      <c r="F10" s="83">
        <f t="shared" si="0"/>
        <v>21.631859729772721</v>
      </c>
      <c r="G10" s="83">
        <f t="shared" si="0"/>
        <v>25.137362600509086</v>
      </c>
      <c r="H10" s="83">
        <f t="shared" si="0"/>
        <v>28.617653944303434</v>
      </c>
      <c r="I10" s="83">
        <f t="shared" si="0"/>
        <v>32.070097933882138</v>
      </c>
      <c r="J10" s="83">
        <f t="shared" si="0"/>
        <v>33.969366136308189</v>
      </c>
      <c r="K10" s="83">
        <f t="shared" si="0"/>
        <v>31.972800689699994</v>
      </c>
      <c r="L10" s="83">
        <f t="shared" si="0"/>
        <v>29.939831354094864</v>
      </c>
      <c r="M10" s="83">
        <f t="shared" si="0"/>
        <v>34.804175019949653</v>
      </c>
      <c r="N10" s="83">
        <f t="shared" si="0"/>
        <v>32.550266684197133</v>
      </c>
      <c r="O10" s="83">
        <f t="shared" si="0"/>
        <v>15.969303891656992</v>
      </c>
      <c r="P10" s="83">
        <f t="shared" si="0"/>
        <v>13.910939534789833</v>
      </c>
      <c r="Q10" s="83">
        <f t="shared" si="0"/>
        <v>11.796317259373339</v>
      </c>
      <c r="R10" s="83">
        <f t="shared" si="0"/>
        <v>9.6216909634941175</v>
      </c>
      <c r="S10" s="83">
        <f t="shared" si="0"/>
        <v>7.3831459042629035</v>
      </c>
      <c r="T10" s="83">
        <f t="shared" si="0"/>
        <v>5.0765898924832413</v>
      </c>
      <c r="U10" s="83">
        <f t="shared" si="0"/>
        <v>2.6977440545194469</v>
      </c>
      <c r="V10" s="83">
        <f t="shared" si="0"/>
        <v>0.24213313957424276</v>
      </c>
    </row>
    <row r="12" spans="1:22" ht="19.5" customHeight="1" x14ac:dyDescent="0.25">
      <c r="A12" s="143" t="s">
        <v>512</v>
      </c>
      <c r="B12" s="143"/>
      <c r="C12" s="143"/>
      <c r="D12" s="143"/>
      <c r="E12" s="143"/>
      <c r="F12" s="143"/>
      <c r="G12" s="143"/>
      <c r="H12" s="143"/>
      <c r="I12" s="143"/>
      <c r="J12" s="143"/>
      <c r="K12" s="143"/>
      <c r="L12" s="143"/>
      <c r="M12" s="143"/>
      <c r="N12" s="143"/>
      <c r="O12" s="143"/>
      <c r="P12" s="143"/>
      <c r="Q12" s="143"/>
      <c r="R12" s="143"/>
      <c r="S12" s="143"/>
      <c r="T12" s="143"/>
      <c r="U12" s="143"/>
      <c r="V12" s="143"/>
    </row>
    <row r="13" spans="1:22" ht="15" customHeight="1" x14ac:dyDescent="0.25">
      <c r="A13" s="68" t="s">
        <v>309</v>
      </c>
      <c r="B13" s="86">
        <f>'💰 CAPEX &amp; MOF'!$B$17</f>
        <v>787.17379000000005</v>
      </c>
      <c r="C13" s="72">
        <f>IF(1='📋 ASSUMPTIONS'!$B$12+1,'📋 ASSUMPTIONS'!$B$19*'📋 ASSUMPTIONS'!$B$13,0)</f>
        <v>0</v>
      </c>
      <c r="D13" s="72">
        <f>IF(2='📋 ASSUMPTIONS'!$B$12+1,'📋 ASSUMPTIONS'!$B$19*'📋 ASSUMPTIONS'!$B$13,0)</f>
        <v>0</v>
      </c>
      <c r="E13" s="72">
        <f>IF(3='📋 ASSUMPTIONS'!$B$12+1,'📋 ASSUMPTIONS'!$B$19*'📋 ASSUMPTIONS'!$B$13,0)</f>
        <v>0</v>
      </c>
      <c r="F13" s="72">
        <f>IF(4='📋 ASSUMPTIONS'!$B$12+1,'📋 ASSUMPTIONS'!$B$19*'📋 ASSUMPTIONS'!$B$13,0)</f>
        <v>0</v>
      </c>
      <c r="G13" s="72">
        <f>IF(5='📋 ASSUMPTIONS'!$B$12+1,'📋 ASSUMPTIONS'!$B$19*'📋 ASSUMPTIONS'!$B$13,0)</f>
        <v>0</v>
      </c>
      <c r="H13" s="72">
        <f>IF(6='📋 ASSUMPTIONS'!$B$12+1,'📋 ASSUMPTIONS'!$B$19*'📋 ASSUMPTIONS'!$B$13,0)</f>
        <v>0</v>
      </c>
      <c r="I13" s="72">
        <f>IF(7='📋 ASSUMPTIONS'!$B$12+1,'📋 ASSUMPTIONS'!$B$19*'📋 ASSUMPTIONS'!$B$13,0)</f>
        <v>0</v>
      </c>
      <c r="J13" s="72">
        <f>IF(8='📋 ASSUMPTIONS'!$B$12+1,'📋 ASSUMPTIONS'!$B$19*'📋 ASSUMPTIONS'!$B$13,0)</f>
        <v>0</v>
      </c>
      <c r="K13" s="72">
        <f>IF(9='📋 ASSUMPTIONS'!$B$12+1,'📋 ASSUMPTIONS'!$B$19*'📋 ASSUMPTIONS'!$B$13,0)</f>
        <v>0</v>
      </c>
      <c r="L13" s="72">
        <f>IF(10='📋 ASSUMPTIONS'!$B$12+1,'📋 ASSUMPTIONS'!$B$19*'📋 ASSUMPTIONS'!$B$13,0)</f>
        <v>0</v>
      </c>
      <c r="M13" s="72">
        <f>IF(11='📋 ASSUMPTIONS'!$B$12+1,'📋 ASSUMPTIONS'!$B$19*'📋 ASSUMPTIONS'!$B$13,0)</f>
        <v>112.5</v>
      </c>
      <c r="N13" s="72">
        <f>IF(12='📋 ASSUMPTIONS'!$B$12+1,'📋 ASSUMPTIONS'!$B$19*'📋 ASSUMPTIONS'!$B$13,0)</f>
        <v>0</v>
      </c>
      <c r="O13" s="72">
        <f>IF(13='📋 ASSUMPTIONS'!$B$12+1,'📋 ASSUMPTIONS'!$B$19*'📋 ASSUMPTIONS'!$B$13,0)</f>
        <v>0</v>
      </c>
      <c r="P13" s="72">
        <f>IF(14='📋 ASSUMPTIONS'!$B$12+1,'📋 ASSUMPTIONS'!$B$19*'📋 ASSUMPTIONS'!$B$13,0)</f>
        <v>0</v>
      </c>
      <c r="Q13" s="72">
        <f>IF(15='📋 ASSUMPTIONS'!$B$12+1,'📋 ASSUMPTIONS'!$B$19*'📋 ASSUMPTIONS'!$B$13,0)</f>
        <v>0</v>
      </c>
      <c r="R13" s="72">
        <f>IF(16='📋 ASSUMPTIONS'!$B$12+1,'📋 ASSUMPTIONS'!$B$19*'📋 ASSUMPTIONS'!$B$13,0)</f>
        <v>0</v>
      </c>
      <c r="S13" s="72">
        <f>IF(17='📋 ASSUMPTIONS'!$B$12+1,'📋 ASSUMPTIONS'!$B$19*'📋 ASSUMPTIONS'!$B$13,0)</f>
        <v>0</v>
      </c>
      <c r="T13" s="72">
        <f>IF(18='📋 ASSUMPTIONS'!$B$12+1,'📋 ASSUMPTIONS'!$B$19*'📋 ASSUMPTIONS'!$B$13,0)</f>
        <v>0</v>
      </c>
      <c r="U13" s="72">
        <f>IF(19='📋 ASSUMPTIONS'!$B$12+1,'📋 ASSUMPTIONS'!$B$19*'📋 ASSUMPTIONS'!$B$13,0)</f>
        <v>0</v>
      </c>
      <c r="V13" s="72">
        <f>IF(20='📋 ASSUMPTIONS'!$B$12+1,'📋 ASSUMPTIONS'!$B$19*'📋 ASSUMPTIONS'!$B$13,0)</f>
        <v>0</v>
      </c>
    </row>
    <row r="14" spans="1:22" ht="21.75" customHeight="1" x14ac:dyDescent="0.25">
      <c r="A14" s="68" t="s">
        <v>513</v>
      </c>
      <c r="B14" s="33"/>
      <c r="C14" s="86">
        <f>'🏦 DEBT SCHEDULE'!C8+'🏦 DEBT SCHEDULE'!C11</f>
        <v>264.62799999999999</v>
      </c>
      <c r="D14" s="86">
        <f>'🏦 DEBT SCHEDULE'!D8+'🏦 DEBT SCHEDULE'!D11</f>
        <v>50.092877545454549</v>
      </c>
      <c r="E14" s="86">
        <f>'🏦 DEBT SCHEDULE'!E8+'🏦 DEBT SCHEDULE'!E11</f>
        <v>50.092877545454549</v>
      </c>
      <c r="F14" s="86">
        <f>'🏦 DEBT SCHEDULE'!F8+'🏦 DEBT SCHEDULE'!F11</f>
        <v>50.092877545454549</v>
      </c>
      <c r="G14" s="86">
        <f>'🏦 DEBT SCHEDULE'!G8+'🏦 DEBT SCHEDULE'!G11</f>
        <v>50.092877545454549</v>
      </c>
      <c r="H14" s="86">
        <f>'🏦 DEBT SCHEDULE'!H8+'🏦 DEBT SCHEDULE'!H11</f>
        <v>50.092877545454549</v>
      </c>
      <c r="I14" s="86">
        <f>'🏦 DEBT SCHEDULE'!I8+'🏦 DEBT SCHEDULE'!I11</f>
        <v>35.929265272727314</v>
      </c>
      <c r="J14" s="86">
        <f>'🏦 DEBT SCHEDULE'!J8+'🏦 DEBT SCHEDULE'!J11</f>
        <v>0</v>
      </c>
      <c r="K14" s="86">
        <f>'🏦 DEBT SCHEDULE'!K8+'🏦 DEBT SCHEDULE'!K11</f>
        <v>0</v>
      </c>
      <c r="L14" s="86">
        <f>'🏦 DEBT SCHEDULE'!L8+'🏦 DEBT SCHEDULE'!L11</f>
        <v>0</v>
      </c>
      <c r="M14" s="86">
        <f>'🏦 DEBT SCHEDULE'!M8+'🏦 DEBT SCHEDULE'!M11</f>
        <v>0</v>
      </c>
      <c r="N14" s="86">
        <f>'🏦 DEBT SCHEDULE'!N8+'🏦 DEBT SCHEDULE'!N11</f>
        <v>0</v>
      </c>
      <c r="O14" s="86">
        <f>'🏦 DEBT SCHEDULE'!O8+'🏦 DEBT SCHEDULE'!O11</f>
        <v>0</v>
      </c>
      <c r="P14" s="86">
        <f>'🏦 DEBT SCHEDULE'!P8+'🏦 DEBT SCHEDULE'!P11</f>
        <v>0</v>
      </c>
      <c r="Q14" s="86">
        <f>'🏦 DEBT SCHEDULE'!Q8+'🏦 DEBT SCHEDULE'!Q11</f>
        <v>0</v>
      </c>
      <c r="R14" s="86">
        <f>'🏦 DEBT SCHEDULE'!R8+'🏦 DEBT SCHEDULE'!R11</f>
        <v>0</v>
      </c>
      <c r="S14" s="86">
        <f>'🏦 DEBT SCHEDULE'!S8+'🏦 DEBT SCHEDULE'!S11</f>
        <v>0</v>
      </c>
      <c r="T14" s="86">
        <f>'🏦 DEBT SCHEDULE'!T8+'🏦 DEBT SCHEDULE'!T11</f>
        <v>0</v>
      </c>
      <c r="U14" s="86">
        <f>'🏦 DEBT SCHEDULE'!U8+'🏦 DEBT SCHEDULE'!U11</f>
        <v>0</v>
      </c>
      <c r="V14" s="86">
        <f>'🏦 DEBT SCHEDULE'!V8+'🏦 DEBT SCHEDULE'!V11</f>
        <v>0</v>
      </c>
    </row>
    <row r="15" spans="1:22" ht="15" customHeight="1" x14ac:dyDescent="0.25">
      <c r="A15" s="23" t="s">
        <v>514</v>
      </c>
      <c r="B15" s="87">
        <f t="shared" ref="B15:V15" si="1">B13+B14</f>
        <v>787.17379000000005</v>
      </c>
      <c r="C15" s="87">
        <f t="shared" si="1"/>
        <v>264.62799999999999</v>
      </c>
      <c r="D15" s="87">
        <f t="shared" si="1"/>
        <v>50.092877545454549</v>
      </c>
      <c r="E15" s="87">
        <f t="shared" si="1"/>
        <v>50.092877545454549</v>
      </c>
      <c r="F15" s="87">
        <f t="shared" si="1"/>
        <v>50.092877545454549</v>
      </c>
      <c r="G15" s="87">
        <f t="shared" si="1"/>
        <v>50.092877545454549</v>
      </c>
      <c r="H15" s="87">
        <f t="shared" si="1"/>
        <v>50.092877545454549</v>
      </c>
      <c r="I15" s="87">
        <f t="shared" si="1"/>
        <v>35.929265272727314</v>
      </c>
      <c r="J15" s="87">
        <f t="shared" si="1"/>
        <v>0</v>
      </c>
      <c r="K15" s="87">
        <f t="shared" si="1"/>
        <v>0</v>
      </c>
      <c r="L15" s="87">
        <f t="shared" si="1"/>
        <v>0</v>
      </c>
      <c r="M15" s="87">
        <f t="shared" si="1"/>
        <v>112.5</v>
      </c>
      <c r="N15" s="87">
        <f t="shared" si="1"/>
        <v>0</v>
      </c>
      <c r="O15" s="87">
        <f t="shared" si="1"/>
        <v>0</v>
      </c>
      <c r="P15" s="87">
        <f t="shared" si="1"/>
        <v>0</v>
      </c>
      <c r="Q15" s="87">
        <f t="shared" si="1"/>
        <v>0</v>
      </c>
      <c r="R15" s="87">
        <f t="shared" si="1"/>
        <v>0</v>
      </c>
      <c r="S15" s="87">
        <f t="shared" si="1"/>
        <v>0</v>
      </c>
      <c r="T15" s="87">
        <f t="shared" si="1"/>
        <v>0</v>
      </c>
      <c r="U15" s="87">
        <f t="shared" si="1"/>
        <v>0</v>
      </c>
      <c r="V15" s="87">
        <f t="shared" si="1"/>
        <v>0</v>
      </c>
    </row>
    <row r="16" spans="1:22" ht="15" customHeight="1" x14ac:dyDescent="0.25">
      <c r="A16" s="136" t="s">
        <v>515</v>
      </c>
      <c r="B16" s="137">
        <f t="shared" ref="B16:V16" si="2">B10-B15</f>
        <v>0</v>
      </c>
      <c r="C16" s="137">
        <f t="shared" si="2"/>
        <v>-12.073535962499989</v>
      </c>
      <c r="D16" s="137">
        <f t="shared" si="2"/>
        <v>-35.53760350795455</v>
      </c>
      <c r="E16" s="137">
        <f t="shared" si="2"/>
        <v>-31.989195171818189</v>
      </c>
      <c r="F16" s="137">
        <f t="shared" si="2"/>
        <v>-28.461017815681828</v>
      </c>
      <c r="G16" s="137">
        <f t="shared" si="2"/>
        <v>-24.955514944945463</v>
      </c>
      <c r="H16" s="137">
        <f t="shared" si="2"/>
        <v>-21.475223601151114</v>
      </c>
      <c r="I16" s="137">
        <f t="shared" si="2"/>
        <v>-3.8591673388451753</v>
      </c>
      <c r="J16" s="137">
        <f t="shared" si="2"/>
        <v>33.969366136308189</v>
      </c>
      <c r="K16" s="137">
        <f t="shared" si="2"/>
        <v>31.972800689699994</v>
      </c>
      <c r="L16" s="137">
        <f t="shared" si="2"/>
        <v>29.939831354094864</v>
      </c>
      <c r="M16" s="137">
        <f t="shared" si="2"/>
        <v>-77.695824980050347</v>
      </c>
      <c r="N16" s="137">
        <f t="shared" si="2"/>
        <v>32.550266684197133</v>
      </c>
      <c r="O16" s="137">
        <f t="shared" si="2"/>
        <v>15.969303891656992</v>
      </c>
      <c r="P16" s="137">
        <f t="shared" si="2"/>
        <v>13.910939534789833</v>
      </c>
      <c r="Q16" s="137">
        <f t="shared" si="2"/>
        <v>11.796317259373339</v>
      </c>
      <c r="R16" s="137">
        <f t="shared" si="2"/>
        <v>9.6216909634941175</v>
      </c>
      <c r="S16" s="137">
        <f t="shared" si="2"/>
        <v>7.3831459042629035</v>
      </c>
      <c r="T16" s="137">
        <f t="shared" si="2"/>
        <v>5.0765898924832413</v>
      </c>
      <c r="U16" s="137">
        <f t="shared" si="2"/>
        <v>2.6977440545194469</v>
      </c>
      <c r="V16" s="137">
        <f t="shared" si="2"/>
        <v>0.24213313957424276</v>
      </c>
    </row>
    <row r="17" spans="1:22" ht="21.75" customHeight="1" x14ac:dyDescent="0.25">
      <c r="A17" s="14" t="s">
        <v>516</v>
      </c>
      <c r="B17" s="33"/>
      <c r="C17" s="81">
        <f>('🏛 BALANCE SHEET'!C14-'🏛 BALANCE SHEET'!C29)-('🏛 BALANCE SHEET'!B14-'🏛 BALANCE SHEET'!B29)</f>
        <v>-75.397813507954524</v>
      </c>
      <c r="D17" s="81">
        <f>('🏛 BALANCE SHEET'!D14-'🏛 BALANCE SHEET'!D29)-('🏛 BALANCE SHEET'!C14-'🏛 BALANCE SHEET'!C29)</f>
        <v>-48.769003507954551</v>
      </c>
      <c r="E17" s="81">
        <f>('🏛 BALANCE SHEET'!E14-'🏛 BALANCE SHEET'!E29)-('🏛 BALANCE SHEET'!D14-'🏛 BALANCE SHEET'!D29)</f>
        <v>-45.220595171818175</v>
      </c>
      <c r="F17" s="81">
        <f>('🏛 BALANCE SHEET'!F14-'🏛 BALANCE SHEET'!F29)-('🏛 BALANCE SHEET'!E14-'🏛 BALANCE SHEET'!E29)</f>
        <v>-41.692417815681836</v>
      </c>
      <c r="G17" s="81">
        <f>('🏛 BALANCE SHEET'!G14-'🏛 BALANCE SHEET'!G29)-('🏛 BALANCE SHEET'!F14-'🏛 BALANCE SHEET'!F29)</f>
        <v>-38.186914944945471</v>
      </c>
      <c r="H17" s="81">
        <f>('🏛 BALANCE SHEET'!H14-'🏛 BALANCE SHEET'!H29)-('🏛 BALANCE SHEET'!G14-'🏛 BALANCE SHEET'!G29)</f>
        <v>-20.543011328423887</v>
      </c>
      <c r="I17" s="81">
        <f>('🏛 BALANCE SHEET'!I14-'🏛 BALANCE SHEET'!I29)-('🏛 BALANCE SHEET'!H14-'🏛 BALANCE SHEET'!H29)</f>
        <v>18.838697933882145</v>
      </c>
      <c r="J17" s="81">
        <f>('🏛 BALANCE SHEET'!J14-'🏛 BALANCE SHEET'!J29)-('🏛 BALANCE SHEET'!I14-'🏛 BALANCE SHEET'!I29)</f>
        <v>20.737966136308188</v>
      </c>
      <c r="K17" s="81">
        <f>('🏛 BALANCE SHEET'!K14-'🏛 BALANCE SHEET'!K29)-('🏛 BALANCE SHEET'!J14-'🏛 BALANCE SHEET'!J29)</f>
        <v>18.741400689699987</v>
      </c>
      <c r="L17" s="81">
        <f>('🏛 BALANCE SHEET'!L14-'🏛 BALANCE SHEET'!L29)-('🏛 BALANCE SHEET'!K14-'🏛 BALANCE SHEET'!K29)</f>
        <v>16.70843135409487</v>
      </c>
      <c r="M17" s="81">
        <f>('🏛 BALANCE SHEET'!M14-'🏛 BALANCE SHEET'!M29)-('🏛 BALANCE SHEET'!L14-'🏛 BALANCE SHEET'!L29)</f>
        <v>-90.92722498005034</v>
      </c>
      <c r="N17" s="81">
        <f>('🏛 BALANCE SHEET'!N14-'🏛 BALANCE SHEET'!N29)-('🏛 BALANCE SHEET'!M14-'🏛 BALANCE SHEET'!M29)</f>
        <v>19.318866684197133</v>
      </c>
      <c r="O17" s="81">
        <f>('🏛 BALANCE SHEET'!O14-'🏛 BALANCE SHEET'!O29)-('🏛 BALANCE SHEET'!N14-'🏛 BALANCE SHEET'!N29)</f>
        <v>2.7379038916569698</v>
      </c>
      <c r="P17" s="81">
        <f>('🏛 BALANCE SHEET'!P14-'🏛 BALANCE SHEET'!P29)-('🏛 BALANCE SHEET'!O14-'🏛 BALANCE SHEET'!O29)</f>
        <v>0.67953953478985341</v>
      </c>
      <c r="Q17" s="81">
        <f>('🏛 BALANCE SHEET'!Q14-'🏛 BALANCE SHEET'!Q29)-('🏛 BALANCE SHEET'!P14-'🏛 BALANCE SHEET'!P29)</f>
        <v>-1.4350827406266831</v>
      </c>
      <c r="R17" s="81">
        <f>('🏛 BALANCE SHEET'!R14-'🏛 BALANCE SHEET'!R29)-('🏛 BALANCE SHEET'!Q14-'🏛 BALANCE SHEET'!Q29)</f>
        <v>-3.6097090365058762</v>
      </c>
      <c r="S17" s="81">
        <f>('🏛 BALANCE SHEET'!S14-'🏛 BALANCE SHEET'!S29)-('🏛 BALANCE SHEET'!R14-'🏛 BALANCE SHEET'!R29)</f>
        <v>-5.8482540957371043</v>
      </c>
      <c r="T17" s="81">
        <f>('🏛 BALANCE SHEET'!T14-'🏛 BALANCE SHEET'!T29)-('🏛 BALANCE SHEET'!S14-'🏛 BALANCE SHEET'!S29)</f>
        <v>-8.1548101075167665</v>
      </c>
      <c r="U17" s="81">
        <f>('🏛 BALANCE SHEET'!U14-'🏛 BALANCE SHEET'!U29)-('🏛 BALANCE SHEET'!T14-'🏛 BALANCE SHEET'!T29)</f>
        <v>-10.533655945480575</v>
      </c>
      <c r="V17" s="81">
        <f>('🏛 BALANCE SHEET'!V14-'🏛 BALANCE SHEET'!V29)-('🏛 BALANCE SHEET'!U14-'🏛 BALANCE SHEET'!U29)</f>
        <v>-12.989266860425744</v>
      </c>
    </row>
    <row r="19" spans="1:22" ht="15" customHeight="1" x14ac:dyDescent="0.25">
      <c r="A19" s="144" t="s">
        <v>517</v>
      </c>
      <c r="B19" s="144"/>
      <c r="C19" s="144"/>
      <c r="D19" s="144"/>
      <c r="E19" s="144"/>
      <c r="F19" s="144"/>
      <c r="G19" s="144"/>
      <c r="H19" s="144"/>
      <c r="I19" s="144"/>
      <c r="J19" s="144"/>
      <c r="K19" s="144"/>
      <c r="L19" s="144"/>
      <c r="M19" s="144"/>
      <c r="N19" s="144"/>
      <c r="O19" s="144"/>
      <c r="P19" s="144"/>
      <c r="Q19" s="144"/>
      <c r="R19" s="144"/>
      <c r="S19" s="144"/>
      <c r="T19" s="144"/>
      <c r="U19" s="144"/>
      <c r="V19" s="144"/>
    </row>
  </sheetData>
  <mergeCells count="5">
    <mergeCell ref="A1:V1"/>
    <mergeCell ref="A2:V2"/>
    <mergeCell ref="A4:V4"/>
    <mergeCell ref="A12:V12"/>
    <mergeCell ref="A19:V19"/>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4F72"/>
  </sheetPr>
  <dimension ref="A1:C71"/>
  <sheetViews>
    <sheetView zoomScaleNormal="100" workbookViewId="0">
      <selection sqref="A1:C1"/>
    </sheetView>
  </sheetViews>
  <sheetFormatPr defaultColWidth="8.7109375" defaultRowHeight="15" x14ac:dyDescent="0.25"/>
  <cols>
    <col min="1" max="1" width="38" customWidth="1"/>
    <col min="2" max="2" width="18" customWidth="1"/>
    <col min="3" max="3" width="30" customWidth="1"/>
  </cols>
  <sheetData>
    <row r="1" spans="1:3" ht="30" customHeight="1" x14ac:dyDescent="0.25">
      <c r="A1" s="140" t="s">
        <v>60</v>
      </c>
      <c r="B1" s="140"/>
      <c r="C1" s="140"/>
    </row>
    <row r="2" spans="1:3" ht="15" customHeight="1" x14ac:dyDescent="0.25">
      <c r="A2" s="141" t="s">
        <v>61</v>
      </c>
      <c r="B2" s="141"/>
      <c r="C2" s="141"/>
    </row>
    <row r="3" spans="1:3" ht="21.75" customHeight="1" x14ac:dyDescent="0.25">
      <c r="A3" s="142" t="s">
        <v>62</v>
      </c>
      <c r="B3" s="142"/>
      <c r="C3" s="142"/>
    </row>
    <row r="4" spans="1:3" ht="19.5" customHeight="1" x14ac:dyDescent="0.25">
      <c r="A4" s="13" t="s">
        <v>63</v>
      </c>
      <c r="B4" s="13" t="s">
        <v>64</v>
      </c>
      <c r="C4" s="13" t="s">
        <v>65</v>
      </c>
    </row>
    <row r="5" spans="1:3" ht="15" customHeight="1" x14ac:dyDescent="0.25">
      <c r="A5" s="14" t="s">
        <v>66</v>
      </c>
      <c r="B5" s="15">
        <v>250</v>
      </c>
      <c r="C5" s="16" t="s">
        <v>67</v>
      </c>
    </row>
    <row r="6" spans="1:3" ht="15" customHeight="1" x14ac:dyDescent="0.25">
      <c r="A6" s="14" t="s">
        <v>68</v>
      </c>
      <c r="B6" s="15">
        <v>500</v>
      </c>
      <c r="C6" s="16" t="s">
        <v>69</v>
      </c>
    </row>
    <row r="7" spans="1:3" ht="15" customHeight="1" x14ac:dyDescent="0.25">
      <c r="A7" s="14" t="s">
        <v>70</v>
      </c>
      <c r="B7" s="15">
        <v>2</v>
      </c>
      <c r="C7" s="16" t="s">
        <v>71</v>
      </c>
    </row>
    <row r="8" spans="1:3" ht="15" customHeight="1" x14ac:dyDescent="0.25">
      <c r="A8" s="14" t="s">
        <v>72</v>
      </c>
      <c r="B8" s="17">
        <v>0.88</v>
      </c>
      <c r="C8" s="16" t="s">
        <v>73</v>
      </c>
    </row>
    <row r="9" spans="1:3" ht="15" customHeight="1" x14ac:dyDescent="0.25">
      <c r="A9" s="14" t="s">
        <v>74</v>
      </c>
      <c r="B9" s="17">
        <v>0.02</v>
      </c>
      <c r="C9" s="16" t="s">
        <v>75</v>
      </c>
    </row>
    <row r="10" spans="1:3" ht="18.75" customHeight="1" x14ac:dyDescent="0.25">
      <c r="A10" s="14" t="s">
        <v>76</v>
      </c>
      <c r="B10" s="17">
        <v>0.98</v>
      </c>
      <c r="C10" s="16" t="s">
        <v>77</v>
      </c>
    </row>
    <row r="11" spans="1:3" ht="18.75" customHeight="1" x14ac:dyDescent="0.25">
      <c r="A11" s="14" t="s">
        <v>78</v>
      </c>
      <c r="B11" s="15">
        <v>1</v>
      </c>
      <c r="C11" s="16" t="s">
        <v>79</v>
      </c>
    </row>
    <row r="12" spans="1:3" ht="15" customHeight="1" x14ac:dyDescent="0.25">
      <c r="A12" s="14" t="s">
        <v>80</v>
      </c>
      <c r="B12" s="15">
        <v>10</v>
      </c>
      <c r="C12" s="16" t="s">
        <v>81</v>
      </c>
    </row>
    <row r="13" spans="1:3" ht="15" customHeight="1" x14ac:dyDescent="0.25">
      <c r="A13" s="14" t="s">
        <v>82</v>
      </c>
      <c r="B13" s="17">
        <v>0.25</v>
      </c>
      <c r="C13" s="16" t="s">
        <v>83</v>
      </c>
    </row>
    <row r="14" spans="1:3" ht="15" customHeight="1" x14ac:dyDescent="0.25">
      <c r="A14" s="14" t="s">
        <v>84</v>
      </c>
      <c r="B14" s="15">
        <v>12</v>
      </c>
      <c r="C14" s="16" t="s">
        <v>85</v>
      </c>
    </row>
    <row r="15" spans="1:3" ht="15" customHeight="1" x14ac:dyDescent="0.25">
      <c r="A15" s="14" t="s">
        <v>86</v>
      </c>
      <c r="B15" s="15">
        <v>20</v>
      </c>
      <c r="C15" s="16" t="s">
        <v>87</v>
      </c>
    </row>
    <row r="17" spans="1:3" ht="21.75" customHeight="1" x14ac:dyDescent="0.25">
      <c r="A17" s="143" t="s">
        <v>88</v>
      </c>
      <c r="B17" s="143"/>
      <c r="C17" s="143"/>
    </row>
    <row r="18" spans="1:3" ht="19.5" customHeight="1" x14ac:dyDescent="0.25">
      <c r="A18" s="13" t="s">
        <v>89</v>
      </c>
      <c r="B18" s="13" t="s">
        <v>90</v>
      </c>
      <c r="C18" s="13" t="s">
        <v>91</v>
      </c>
    </row>
    <row r="19" spans="1:3" ht="18.75" customHeight="1" x14ac:dyDescent="0.25">
      <c r="A19" s="14" t="s">
        <v>92</v>
      </c>
      <c r="B19" s="15">
        <v>450</v>
      </c>
      <c r="C19" s="16" t="s">
        <v>93</v>
      </c>
    </row>
    <row r="20" spans="1:3" ht="15" customHeight="1" x14ac:dyDescent="0.25">
      <c r="A20" s="14" t="s">
        <v>94</v>
      </c>
      <c r="B20" s="15">
        <v>40</v>
      </c>
      <c r="C20" s="16" t="s">
        <v>95</v>
      </c>
    </row>
    <row r="21" spans="1:3" ht="15" customHeight="1" x14ac:dyDescent="0.25">
      <c r="A21" s="14" t="s">
        <v>96</v>
      </c>
      <c r="B21" s="15">
        <v>140</v>
      </c>
      <c r="C21" s="16" t="s">
        <v>97</v>
      </c>
    </row>
    <row r="22" spans="1:3" ht="15" customHeight="1" x14ac:dyDescent="0.25">
      <c r="A22" s="14" t="s">
        <v>98</v>
      </c>
      <c r="B22" s="15">
        <v>15</v>
      </c>
      <c r="C22" s="16" t="s">
        <v>99</v>
      </c>
    </row>
    <row r="23" spans="1:3" ht="18.75" customHeight="1" x14ac:dyDescent="0.25">
      <c r="A23" s="14" t="s">
        <v>100</v>
      </c>
      <c r="B23" s="15">
        <v>50</v>
      </c>
      <c r="C23" s="16" t="s">
        <v>101</v>
      </c>
    </row>
    <row r="24" spans="1:3" ht="15" customHeight="1" x14ac:dyDescent="0.25">
      <c r="A24" s="14" t="s">
        <v>102</v>
      </c>
      <c r="B24" s="15">
        <v>12</v>
      </c>
      <c r="C24" s="16" t="s">
        <v>103</v>
      </c>
    </row>
    <row r="25" spans="1:3" ht="18.75" customHeight="1" x14ac:dyDescent="0.25">
      <c r="A25" s="14" t="s">
        <v>104</v>
      </c>
      <c r="B25" s="15">
        <v>20</v>
      </c>
      <c r="C25" s="16" t="s">
        <v>105</v>
      </c>
    </row>
    <row r="26" spans="1:3" ht="15" customHeight="1" x14ac:dyDescent="0.25">
      <c r="A26" s="18" t="s">
        <v>106</v>
      </c>
      <c r="B26" s="19">
        <f>SUM(B19:B25)</f>
        <v>727</v>
      </c>
      <c r="C26" s="20"/>
    </row>
    <row r="27" spans="1:3" ht="15" customHeight="1" x14ac:dyDescent="0.25">
      <c r="A27" s="14" t="s">
        <v>107</v>
      </c>
      <c r="B27" s="21">
        <v>0.04</v>
      </c>
    </row>
    <row r="28" spans="1:3" ht="15" customHeight="1" x14ac:dyDescent="0.25">
      <c r="A28" s="14" t="s">
        <v>108</v>
      </c>
      <c r="B28" s="22">
        <f>B26*B27</f>
        <v>29.080000000000002</v>
      </c>
    </row>
    <row r="29" spans="1:3" ht="15" customHeight="1" x14ac:dyDescent="0.25">
      <c r="A29" s="23" t="s">
        <v>109</v>
      </c>
      <c r="B29" s="24">
        <f>B26+B28</f>
        <v>756.08</v>
      </c>
    </row>
    <row r="31" spans="1:3" ht="21.75" customHeight="1" x14ac:dyDescent="0.25">
      <c r="A31" s="156" t="s">
        <v>110</v>
      </c>
      <c r="B31" s="156"/>
      <c r="C31" s="156"/>
    </row>
    <row r="32" spans="1:3" ht="19.5" customHeight="1" x14ac:dyDescent="0.25">
      <c r="A32" s="13" t="s">
        <v>63</v>
      </c>
      <c r="B32" s="13" t="s">
        <v>64</v>
      </c>
      <c r="C32" s="13" t="s">
        <v>65</v>
      </c>
    </row>
    <row r="33" spans="1:3" ht="15" customHeight="1" x14ac:dyDescent="0.25">
      <c r="A33" s="14" t="s">
        <v>111</v>
      </c>
      <c r="B33" s="25">
        <v>0.7</v>
      </c>
      <c r="C33" s="16" t="s">
        <v>112</v>
      </c>
    </row>
    <row r="34" spans="1:3" ht="18.75" customHeight="1" x14ac:dyDescent="0.25">
      <c r="A34" s="14" t="s">
        <v>113</v>
      </c>
      <c r="B34" s="25">
        <v>0.1075</v>
      </c>
      <c r="C34" s="16" t="s">
        <v>114</v>
      </c>
    </row>
    <row r="35" spans="1:3" ht="15" customHeight="1" x14ac:dyDescent="0.25">
      <c r="A35" s="14" t="s">
        <v>115</v>
      </c>
      <c r="B35" s="15">
        <v>1</v>
      </c>
      <c r="C35" s="16" t="s">
        <v>116</v>
      </c>
    </row>
    <row r="36" spans="1:3" ht="15" customHeight="1" x14ac:dyDescent="0.25">
      <c r="A36" s="14" t="s">
        <v>117</v>
      </c>
      <c r="B36" s="15">
        <v>11</v>
      </c>
      <c r="C36" s="16" t="s">
        <v>118</v>
      </c>
    </row>
    <row r="37" spans="1:3" ht="15" customHeight="1" x14ac:dyDescent="0.25">
      <c r="A37" s="14" t="s">
        <v>119</v>
      </c>
      <c r="B37" s="15">
        <v>2</v>
      </c>
      <c r="C37" s="16" t="s">
        <v>120</v>
      </c>
    </row>
    <row r="38" spans="1:3" ht="15" customHeight="1" x14ac:dyDescent="0.25">
      <c r="A38" s="14" t="s">
        <v>121</v>
      </c>
      <c r="B38" s="25">
        <v>5.0000000000000001E-3</v>
      </c>
      <c r="C38" s="16" t="s">
        <v>122</v>
      </c>
    </row>
    <row r="39" spans="1:3" ht="18.75" customHeight="1" x14ac:dyDescent="0.25">
      <c r="A39" s="14" t="s">
        <v>123</v>
      </c>
      <c r="B39" s="21">
        <v>0.35</v>
      </c>
      <c r="C39" s="16" t="s">
        <v>124</v>
      </c>
    </row>
    <row r="40" spans="1:3" ht="21.75" customHeight="1" x14ac:dyDescent="0.25">
      <c r="A40" s="142" t="s">
        <v>125</v>
      </c>
      <c r="B40" s="142"/>
      <c r="C40" s="142"/>
    </row>
    <row r="41" spans="1:3" ht="19.5" customHeight="1" x14ac:dyDescent="0.25">
      <c r="A41" s="13" t="s">
        <v>63</v>
      </c>
      <c r="B41" s="13" t="s">
        <v>64</v>
      </c>
      <c r="C41" s="13" t="s">
        <v>65</v>
      </c>
    </row>
    <row r="42" spans="1:3" ht="18.75" customHeight="1" x14ac:dyDescent="0.25">
      <c r="A42" s="14" t="s">
        <v>126</v>
      </c>
      <c r="B42" s="26">
        <v>21.3</v>
      </c>
      <c r="C42" s="16" t="s">
        <v>127</v>
      </c>
    </row>
    <row r="43" spans="1:3" ht="15" customHeight="1" x14ac:dyDescent="0.25">
      <c r="A43" s="14" t="s">
        <v>128</v>
      </c>
      <c r="B43" s="21">
        <v>0</v>
      </c>
      <c r="C43" s="16" t="s">
        <v>129</v>
      </c>
    </row>
    <row r="44" spans="1:3" ht="18.75" customHeight="1" x14ac:dyDescent="0.25">
      <c r="A44" s="14" t="s">
        <v>130</v>
      </c>
      <c r="B44" s="21">
        <v>0</v>
      </c>
      <c r="C44" s="16" t="s">
        <v>131</v>
      </c>
    </row>
    <row r="45" spans="1:3" ht="18.75" customHeight="1" x14ac:dyDescent="0.25">
      <c r="A45" s="14" t="s">
        <v>132</v>
      </c>
      <c r="B45" s="26">
        <v>12</v>
      </c>
      <c r="C45" s="16" t="s">
        <v>133</v>
      </c>
    </row>
    <row r="46" spans="1:3" ht="18.75" customHeight="1" x14ac:dyDescent="0.25">
      <c r="A46" s="14" t="s">
        <v>134</v>
      </c>
      <c r="B46" s="21">
        <v>0.7</v>
      </c>
      <c r="C46" s="16" t="s">
        <v>135</v>
      </c>
    </row>
    <row r="48" spans="1:3" ht="21.75" customHeight="1" x14ac:dyDescent="0.25">
      <c r="A48" s="143" t="s">
        <v>136</v>
      </c>
      <c r="B48" s="143"/>
      <c r="C48" s="143"/>
    </row>
    <row r="49" spans="1:3" ht="19.5" customHeight="1" x14ac:dyDescent="0.25">
      <c r="A49" s="13" t="s">
        <v>63</v>
      </c>
      <c r="B49" s="13" t="s">
        <v>64</v>
      </c>
      <c r="C49" s="13" t="s">
        <v>65</v>
      </c>
    </row>
    <row r="50" spans="1:3" ht="18.75" customHeight="1" x14ac:dyDescent="0.25">
      <c r="A50" s="14" t="s">
        <v>137</v>
      </c>
      <c r="B50" s="26">
        <v>6</v>
      </c>
      <c r="C50" s="16" t="s">
        <v>138</v>
      </c>
    </row>
    <row r="51" spans="1:3" ht="15" customHeight="1" x14ac:dyDescent="0.25">
      <c r="A51" s="14" t="s">
        <v>139</v>
      </c>
      <c r="B51" s="25">
        <v>0.05</v>
      </c>
      <c r="C51" s="16" t="s">
        <v>140</v>
      </c>
    </row>
    <row r="52" spans="1:3" ht="15" customHeight="1" x14ac:dyDescent="0.25">
      <c r="A52" s="14" t="s">
        <v>141</v>
      </c>
      <c r="B52" s="25">
        <v>3.5000000000000001E-3</v>
      </c>
      <c r="C52" s="16" t="s">
        <v>142</v>
      </c>
    </row>
    <row r="53" spans="1:3" ht="15" customHeight="1" x14ac:dyDescent="0.25">
      <c r="A53" s="14" t="s">
        <v>143</v>
      </c>
      <c r="B53" s="25">
        <v>0.5</v>
      </c>
      <c r="C53" s="16" t="s">
        <v>144</v>
      </c>
    </row>
    <row r="54" spans="1:3" ht="15" customHeight="1" x14ac:dyDescent="0.25">
      <c r="A54" s="14" t="s">
        <v>145</v>
      </c>
      <c r="B54" s="25">
        <v>0.05</v>
      </c>
      <c r="C54" s="16"/>
    </row>
    <row r="56" spans="1:3" ht="21.75" customHeight="1" x14ac:dyDescent="0.25">
      <c r="A56" s="154" t="s">
        <v>146</v>
      </c>
      <c r="B56" s="154"/>
      <c r="C56" s="154"/>
    </row>
    <row r="57" spans="1:3" ht="19.5" customHeight="1" x14ac:dyDescent="0.25">
      <c r="A57" s="13" t="s">
        <v>63</v>
      </c>
      <c r="B57" s="13" t="s">
        <v>64</v>
      </c>
      <c r="C57" s="13" t="s">
        <v>65</v>
      </c>
    </row>
    <row r="58" spans="1:3" ht="15" customHeight="1" x14ac:dyDescent="0.25">
      <c r="A58" s="14" t="s">
        <v>147</v>
      </c>
      <c r="B58" s="25">
        <v>0.25169999999999998</v>
      </c>
      <c r="C58" s="16" t="s">
        <v>148</v>
      </c>
    </row>
    <row r="59" spans="1:3" ht="18.75" customHeight="1" x14ac:dyDescent="0.25">
      <c r="A59" s="14" t="s">
        <v>149</v>
      </c>
      <c r="B59" s="25">
        <v>0.15</v>
      </c>
      <c r="C59" s="16" t="s">
        <v>150</v>
      </c>
    </row>
    <row r="60" spans="1:3" ht="18.75" customHeight="1" x14ac:dyDescent="0.25">
      <c r="A60" s="14" t="s">
        <v>151</v>
      </c>
      <c r="B60" s="15">
        <v>20</v>
      </c>
      <c r="C60" s="16" t="s">
        <v>152</v>
      </c>
    </row>
    <row r="61" spans="1:3" ht="15" customHeight="1" x14ac:dyDescent="0.25">
      <c r="A61" s="14" t="s">
        <v>153</v>
      </c>
      <c r="B61" s="25">
        <v>0.05</v>
      </c>
      <c r="C61" s="16" t="s">
        <v>154</v>
      </c>
    </row>
    <row r="63" spans="1:3" ht="43.5" customHeight="1" x14ac:dyDescent="0.25">
      <c r="A63" s="155" t="s">
        <v>155</v>
      </c>
      <c r="B63" s="155"/>
      <c r="C63" s="155"/>
    </row>
    <row r="65" spans="1:3" ht="21.75" customHeight="1" x14ac:dyDescent="0.25">
      <c r="A65" s="156" t="s">
        <v>156</v>
      </c>
      <c r="B65" s="156"/>
      <c r="C65" s="156"/>
    </row>
    <row r="66" spans="1:3" ht="19.5" customHeight="1" x14ac:dyDescent="0.25">
      <c r="A66" s="13" t="s">
        <v>63</v>
      </c>
      <c r="B66" s="13" t="s">
        <v>64</v>
      </c>
      <c r="C66" s="13" t="s">
        <v>65</v>
      </c>
    </row>
    <row r="67" spans="1:3" ht="18.75" customHeight="1" x14ac:dyDescent="0.25">
      <c r="A67" s="14" t="s">
        <v>157</v>
      </c>
      <c r="B67" s="25">
        <v>7.0000000000000007E-2</v>
      </c>
      <c r="C67" s="16" t="s">
        <v>158</v>
      </c>
    </row>
    <row r="68" spans="1:3" ht="15" customHeight="1" x14ac:dyDescent="0.25">
      <c r="A68" s="14" t="s">
        <v>159</v>
      </c>
      <c r="B68" s="25">
        <v>6.5000000000000002E-2</v>
      </c>
      <c r="C68" s="16" t="s">
        <v>160</v>
      </c>
    </row>
    <row r="69" spans="1:3" ht="15" customHeight="1" x14ac:dyDescent="0.25">
      <c r="A69" s="14" t="s">
        <v>161</v>
      </c>
      <c r="B69" s="25">
        <v>0.9</v>
      </c>
      <c r="C69" s="16" t="s">
        <v>162</v>
      </c>
    </row>
    <row r="71" spans="1:3" ht="15" customHeight="1" x14ac:dyDescent="0.25">
      <c r="A71" s="144" t="s">
        <v>163</v>
      </c>
      <c r="B71" s="144"/>
      <c r="C71" s="144"/>
    </row>
  </sheetData>
  <mergeCells count="11">
    <mergeCell ref="A1:C1"/>
    <mergeCell ref="A2:C2"/>
    <mergeCell ref="A3:C3"/>
    <mergeCell ref="A17:C17"/>
    <mergeCell ref="A31:C31"/>
    <mergeCell ref="A71:C71"/>
    <mergeCell ref="A40:C40"/>
    <mergeCell ref="A48:C48"/>
    <mergeCell ref="A56:C56"/>
    <mergeCell ref="A63:C63"/>
    <mergeCell ref="A65:C65"/>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04000"/>
  </sheetPr>
  <dimension ref="A1:D33"/>
  <sheetViews>
    <sheetView zoomScaleNormal="100" workbookViewId="0">
      <pane ySplit="4" topLeftCell="A5" activePane="bottomLeft" state="frozen"/>
      <selection pane="bottomLeft" sqref="A1:D1"/>
    </sheetView>
  </sheetViews>
  <sheetFormatPr defaultColWidth="8.7109375" defaultRowHeight="15" x14ac:dyDescent="0.25"/>
  <cols>
    <col min="1" max="1" width="34" customWidth="1"/>
    <col min="2" max="4" width="16" customWidth="1"/>
  </cols>
  <sheetData>
    <row r="1" spans="1:4" ht="30" customHeight="1" x14ac:dyDescent="0.25">
      <c r="A1" s="140" t="s">
        <v>164</v>
      </c>
      <c r="B1" s="140"/>
      <c r="C1" s="140"/>
      <c r="D1" s="140"/>
    </row>
    <row r="3" spans="1:4" ht="21.75" customHeight="1" x14ac:dyDescent="0.25">
      <c r="A3" s="143" t="s">
        <v>165</v>
      </c>
      <c r="B3" s="143"/>
      <c r="C3" s="143"/>
      <c r="D3" s="143"/>
    </row>
    <row r="4" spans="1:4" ht="19.5" customHeight="1" x14ac:dyDescent="0.25">
      <c r="A4" s="13" t="s">
        <v>89</v>
      </c>
      <c r="B4" s="13" t="s">
        <v>90</v>
      </c>
      <c r="C4" s="13" t="s">
        <v>166</v>
      </c>
      <c r="D4" s="13" t="s">
        <v>167</v>
      </c>
    </row>
    <row r="5" spans="1:4" ht="18.75" customHeight="1" x14ac:dyDescent="0.25">
      <c r="A5" s="14" t="s">
        <v>92</v>
      </c>
      <c r="B5" s="28">
        <f>'📋 ASSUMPTIONS'!$B$19</f>
        <v>450</v>
      </c>
      <c r="C5" s="29">
        <f t="shared" ref="C5:C16" si="0">B5/$B$17</f>
        <v>0.57166537518989291</v>
      </c>
      <c r="D5" s="16" t="str">
        <f>'📋 ASSUMPTIONS'!$C$19</f>
        <v>₹0.90 Cr/MWh — LFP cell benchmark 2026</v>
      </c>
    </row>
    <row r="6" spans="1:4" ht="18.75" customHeight="1" x14ac:dyDescent="0.25">
      <c r="A6" s="14" t="s">
        <v>94</v>
      </c>
      <c r="B6" s="28">
        <f>'📋 ASSUMPTIONS'!$B$20</f>
        <v>40</v>
      </c>
      <c r="C6" s="29">
        <f t="shared" si="0"/>
        <v>5.081470001687937E-2</v>
      </c>
      <c r="D6" s="16" t="str">
        <f>'📋 ASSUMPTIONS'!$C$20</f>
        <v>₹0.16 Cr/MW</v>
      </c>
    </row>
    <row r="7" spans="1:4" ht="18.75" customHeight="1" x14ac:dyDescent="0.25">
      <c r="A7" s="14" t="s">
        <v>96</v>
      </c>
      <c r="B7" s="28">
        <f>'📋 ASSUMPTIONS'!$B$21</f>
        <v>140</v>
      </c>
      <c r="C7" s="29">
        <f t="shared" si="0"/>
        <v>0.17785145005907779</v>
      </c>
      <c r="D7" s="16" t="str">
        <f>'📋 ASSUMPTIONS'!$C$21</f>
        <v>₹0.28 Cr/MWh</v>
      </c>
    </row>
    <row r="8" spans="1:4" ht="18.75" customHeight="1" x14ac:dyDescent="0.25">
      <c r="A8" s="14" t="s">
        <v>98</v>
      </c>
      <c r="B8" s="28">
        <f>'📋 ASSUMPTIONS'!$B$22</f>
        <v>15</v>
      </c>
      <c r="C8" s="29">
        <f t="shared" si="0"/>
        <v>1.9055512506329763E-2</v>
      </c>
      <c r="D8" s="16" t="str">
        <f>'📋 ASSUMPTIONS'!$C$22</f>
        <v>Site prep, foundation, structural</v>
      </c>
    </row>
    <row r="9" spans="1:4" ht="18.75" customHeight="1" x14ac:dyDescent="0.25">
      <c r="A9" s="14" t="s">
        <v>100</v>
      </c>
      <c r="B9" s="28">
        <f>'📋 ASSUMPTIONS'!$B$23</f>
        <v>50</v>
      </c>
      <c r="C9" s="29">
        <f t="shared" si="0"/>
        <v>6.3518375021099208E-2</v>
      </c>
      <c r="D9" s="16" t="str">
        <f>'📋 ASSUMPTIONS'!$C$23</f>
        <v>Site-specific — verify with transmission utility</v>
      </c>
    </row>
    <row r="10" spans="1:4" ht="18.75" customHeight="1" x14ac:dyDescent="0.25">
      <c r="A10" s="14" t="s">
        <v>102</v>
      </c>
      <c r="B10" s="28">
        <f>'📋 ASSUMPTIONS'!$B$24</f>
        <v>12</v>
      </c>
      <c r="C10" s="29">
        <f t="shared" si="0"/>
        <v>1.524441000506381E-2</v>
      </c>
      <c r="D10" s="16" t="str">
        <f>'📋 ASSUMPTIONS'!$C$24</f>
        <v>Small footprint vs solar/wind</v>
      </c>
    </row>
    <row r="11" spans="1:4" ht="18.75" customHeight="1" x14ac:dyDescent="0.25">
      <c r="A11" s="14" t="s">
        <v>104</v>
      </c>
      <c r="B11" s="28">
        <f>'📋 ASSUMPTIONS'!$B$25</f>
        <v>20</v>
      </c>
      <c r="C11" s="29">
        <f t="shared" si="0"/>
        <v>2.5407350008439685E-2</v>
      </c>
      <c r="D11" s="16" t="str">
        <f>'📋 ASSUMPTIONS'!$C$25</f>
        <v>Mandatory per India BESS fire safety norms</v>
      </c>
    </row>
    <row r="12" spans="1:4" ht="15" customHeight="1" x14ac:dyDescent="0.25">
      <c r="A12" s="18" t="s">
        <v>106</v>
      </c>
      <c r="B12" s="19">
        <f>SUM(B5:B11)</f>
        <v>727</v>
      </c>
      <c r="C12" s="30">
        <f t="shared" si="0"/>
        <v>0.92355717280678251</v>
      </c>
      <c r="D12" s="20"/>
    </row>
    <row r="13" spans="1:4" ht="15" customHeight="1" x14ac:dyDescent="0.25">
      <c r="A13" s="14" t="s">
        <v>168</v>
      </c>
      <c r="B13" s="28">
        <f>'📋 ASSUMPTIONS'!$B$28</f>
        <v>29.080000000000002</v>
      </c>
      <c r="C13" s="29">
        <f t="shared" si="0"/>
        <v>3.6942286912271305E-2</v>
      </c>
      <c r="D13" s="16" t="str">
        <f>TEXT('📋 ASSUMPTIONS'!$B$27,"0%")&amp;" of hard cost"</f>
        <v>4% of hard cost</v>
      </c>
    </row>
    <row r="14" spans="1:4" ht="15" customHeight="1" x14ac:dyDescent="0.25">
      <c r="A14" s="23" t="s">
        <v>169</v>
      </c>
      <c r="B14" s="24">
        <f>B12+B13</f>
        <v>756.08</v>
      </c>
      <c r="C14" s="31">
        <f t="shared" si="0"/>
        <v>0.96049945971905393</v>
      </c>
      <c r="D14" s="32"/>
    </row>
    <row r="15" spans="1:4" ht="27.75" customHeight="1" x14ac:dyDescent="0.25">
      <c r="A15" s="14" t="s">
        <v>170</v>
      </c>
      <c r="B15" s="22">
        <f>B14*'📋 ASSUMPTIONS'!$B$33*'📋 ASSUMPTIONS'!$B$34*('📋 ASSUMPTIONS'!$B$14/12)*0.5</f>
        <v>28.447509999999998</v>
      </c>
      <c r="C15" s="29">
        <f t="shared" si="0"/>
        <v>3.6138792171929397E-2</v>
      </c>
      <c r="D15" s="16" t="s">
        <v>171</v>
      </c>
    </row>
    <row r="16" spans="1:4" ht="15" customHeight="1" x14ac:dyDescent="0.25">
      <c r="A16" s="14" t="s">
        <v>172</v>
      </c>
      <c r="B16" s="22">
        <f>B14*'📋 ASSUMPTIONS'!$B$33*'📋 ASSUMPTIONS'!$B$38</f>
        <v>2.64628</v>
      </c>
      <c r="C16" s="29">
        <f t="shared" si="0"/>
        <v>3.3617481090166884E-3</v>
      </c>
      <c r="D16" s="33"/>
    </row>
    <row r="17" spans="1:4" ht="15" customHeight="1" x14ac:dyDescent="0.25">
      <c r="A17" s="34" t="s">
        <v>173</v>
      </c>
      <c r="B17" s="35">
        <f>B14+B15+B16</f>
        <v>787.17379000000005</v>
      </c>
      <c r="C17" s="36" t="s">
        <v>174</v>
      </c>
      <c r="D17" s="37"/>
    </row>
    <row r="19" spans="1:4" ht="15" customHeight="1" x14ac:dyDescent="0.25">
      <c r="A19" s="38" t="s">
        <v>175</v>
      </c>
      <c r="B19" s="39">
        <f>B17/'📋 ASSUMPTIONS'!$B$6</f>
        <v>1.5743475800000002</v>
      </c>
      <c r="C19" s="40"/>
      <c r="D19" s="40"/>
    </row>
    <row r="21" spans="1:4" ht="21.75" customHeight="1" x14ac:dyDescent="0.25">
      <c r="A21" s="156" t="s">
        <v>176</v>
      </c>
      <c r="B21" s="156"/>
      <c r="C21" s="156"/>
      <c r="D21" s="156"/>
    </row>
    <row r="22" spans="1:4" ht="15" customHeight="1" x14ac:dyDescent="0.25">
      <c r="A22" s="13" t="s">
        <v>177</v>
      </c>
      <c r="B22" s="13" t="s">
        <v>90</v>
      </c>
      <c r="C22" s="13" t="s">
        <v>178</v>
      </c>
      <c r="D22" s="41"/>
    </row>
    <row r="23" spans="1:4" ht="15" customHeight="1" x14ac:dyDescent="0.25">
      <c r="A23" s="42" t="s">
        <v>179</v>
      </c>
      <c r="B23" s="43">
        <f>B17*'📋 ASSUMPTIONS'!$B$33</f>
        <v>551.02165300000001</v>
      </c>
      <c r="C23" s="44">
        <f>'📋 ASSUMPTIONS'!$B$33</f>
        <v>0.7</v>
      </c>
      <c r="D23" s="40"/>
    </row>
    <row r="24" spans="1:4" ht="15" customHeight="1" x14ac:dyDescent="0.25">
      <c r="A24" s="45" t="s">
        <v>180</v>
      </c>
      <c r="B24" s="46">
        <f>B17-B23</f>
        <v>236.15213700000004</v>
      </c>
      <c r="C24" s="47">
        <f>1-'📋 ASSUMPTIONS'!$B$33</f>
        <v>0.30000000000000004</v>
      </c>
      <c r="D24" s="48"/>
    </row>
    <row r="25" spans="1:4" ht="15" customHeight="1" x14ac:dyDescent="0.25">
      <c r="A25" s="49" t="s">
        <v>181</v>
      </c>
      <c r="B25" s="50">
        <f>B23+B24</f>
        <v>787.17379000000005</v>
      </c>
      <c r="C25" s="36" t="s">
        <v>182</v>
      </c>
      <c r="D25" s="37"/>
    </row>
    <row r="26" spans="1:4" ht="21.75" customHeight="1" x14ac:dyDescent="0.25">
      <c r="A26" s="51" t="s">
        <v>183</v>
      </c>
      <c r="B26" s="52">
        <f>B25-B17</f>
        <v>0</v>
      </c>
      <c r="C26" s="53"/>
      <c r="D26" s="53"/>
    </row>
    <row r="28" spans="1:4" ht="15" customHeight="1" x14ac:dyDescent="0.25">
      <c r="A28" s="144"/>
      <c r="B28" s="144"/>
      <c r="C28" s="144"/>
      <c r="D28" s="144"/>
    </row>
    <row r="29" spans="1:4" ht="19.5" customHeight="1" x14ac:dyDescent="0.25">
      <c r="A29" s="156" t="s">
        <v>184</v>
      </c>
      <c r="B29" s="156"/>
      <c r="C29" s="156"/>
      <c r="D29" s="156"/>
    </row>
    <row r="30" spans="1:4" ht="15" customHeight="1" x14ac:dyDescent="0.25">
      <c r="A30" s="45" t="s">
        <v>185</v>
      </c>
      <c r="B30" s="54">
        <f>B14*'📋 ASSUMPTIONS'!$B$39</f>
        <v>264.62799999999999</v>
      </c>
      <c r="C30" s="48"/>
      <c r="D30" s="48"/>
    </row>
    <row r="31" spans="1:4" ht="21.75" customHeight="1" x14ac:dyDescent="0.25">
      <c r="A31" s="42" t="s">
        <v>186</v>
      </c>
      <c r="B31" s="55">
        <v>1</v>
      </c>
      <c r="C31" s="40"/>
      <c r="D31" s="40"/>
    </row>
    <row r="32" spans="1:4" ht="18.75" customHeight="1" x14ac:dyDescent="0.25">
      <c r="A32" s="16" t="s">
        <v>187</v>
      </c>
      <c r="B32" s="56"/>
      <c r="C32" s="33"/>
      <c r="D32" s="33"/>
    </row>
    <row r="33" spans="1:4" ht="39.75" customHeight="1" x14ac:dyDescent="0.25">
      <c r="A33" s="144" t="s">
        <v>188</v>
      </c>
      <c r="B33" s="144"/>
      <c r="C33" s="144"/>
      <c r="D33" s="144"/>
    </row>
  </sheetData>
  <mergeCells count="6">
    <mergeCell ref="A33:D33"/>
    <mergeCell ref="A1:D1"/>
    <mergeCell ref="A3:D3"/>
    <mergeCell ref="A21:D21"/>
    <mergeCell ref="A28:D28"/>
    <mergeCell ref="A29:D29"/>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17A65"/>
  </sheetPr>
  <dimension ref="A1:V13"/>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140" t="s">
        <v>189</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190</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5" customHeight="1" x14ac:dyDescent="0.25">
      <c r="A4" s="14" t="s">
        <v>213</v>
      </c>
      <c r="B4" s="33"/>
      <c r="C4" s="59">
        <v>1</v>
      </c>
      <c r="D4" s="59">
        <v>2</v>
      </c>
      <c r="E4" s="59">
        <v>3</v>
      </c>
      <c r="F4" s="59">
        <v>4</v>
      </c>
      <c r="G4" s="59">
        <v>5</v>
      </c>
      <c r="H4" s="59">
        <v>6</v>
      </c>
      <c r="I4" s="59">
        <v>7</v>
      </c>
      <c r="J4" s="59">
        <v>8</v>
      </c>
      <c r="K4" s="59">
        <v>9</v>
      </c>
      <c r="L4" s="59">
        <v>10</v>
      </c>
      <c r="M4" s="59">
        <v>11</v>
      </c>
      <c r="N4" s="59">
        <v>12</v>
      </c>
      <c r="O4" s="59">
        <v>13</v>
      </c>
      <c r="P4" s="59">
        <v>14</v>
      </c>
      <c r="Q4" s="59">
        <v>15</v>
      </c>
      <c r="R4" s="59">
        <v>16</v>
      </c>
      <c r="S4" s="59">
        <v>17</v>
      </c>
      <c r="T4" s="59">
        <v>18</v>
      </c>
      <c r="U4" s="59">
        <v>19</v>
      </c>
      <c r="V4" s="59">
        <v>20</v>
      </c>
    </row>
    <row r="5" spans="1:22" ht="15" customHeight="1" x14ac:dyDescent="0.25">
      <c r="A5" s="42" t="s">
        <v>214</v>
      </c>
      <c r="B5" s="40"/>
      <c r="C5" s="60">
        <f>IF(C4&lt;='📋 ASSUMPTIONS'!$B$12,(1-'📋 ASSUMPTIONS'!$B$9)^(C4-1),0.95*(1-'📋 ASSUMPTIONS'!$B$9)^(C4-'📋 ASSUMPTIONS'!$B$12-1))</f>
        <v>1</v>
      </c>
      <c r="D5" s="60">
        <f>IF(D4&lt;='📋 ASSUMPTIONS'!$B$12,(1-'📋 ASSUMPTIONS'!$B$9)^(D4-1),0.95*(1-'📋 ASSUMPTIONS'!$B$9)^(D4-'📋 ASSUMPTIONS'!$B$12-1))</f>
        <v>0.98</v>
      </c>
      <c r="E5" s="60">
        <f>IF(E4&lt;='📋 ASSUMPTIONS'!$B$12,(1-'📋 ASSUMPTIONS'!$B$9)^(E4-1),0.95*(1-'📋 ASSUMPTIONS'!$B$9)^(E4-'📋 ASSUMPTIONS'!$B$12-1))</f>
        <v>0.96039999999999992</v>
      </c>
      <c r="F5" s="60">
        <f>IF(F4&lt;='📋 ASSUMPTIONS'!$B$12,(1-'📋 ASSUMPTIONS'!$B$9)^(F4-1),0.95*(1-'📋 ASSUMPTIONS'!$B$9)^(F4-'📋 ASSUMPTIONS'!$B$12-1))</f>
        <v>0.94119199999999992</v>
      </c>
      <c r="G5" s="60">
        <f>IF(G4&lt;='📋 ASSUMPTIONS'!$B$12,(1-'📋 ASSUMPTIONS'!$B$9)^(G4-1),0.95*(1-'📋 ASSUMPTIONS'!$B$9)^(G4-'📋 ASSUMPTIONS'!$B$12-1))</f>
        <v>0.92236815999999988</v>
      </c>
      <c r="H5" s="60">
        <f>IF(H4&lt;='📋 ASSUMPTIONS'!$B$12,(1-'📋 ASSUMPTIONS'!$B$9)^(H4-1),0.95*(1-'📋 ASSUMPTIONS'!$B$9)^(H4-'📋 ASSUMPTIONS'!$B$12-1))</f>
        <v>0.90392079679999982</v>
      </c>
      <c r="I5" s="60">
        <f>IF(I4&lt;='📋 ASSUMPTIONS'!$B$12,(1-'📋 ASSUMPTIONS'!$B$9)^(I4-1),0.95*(1-'📋 ASSUMPTIONS'!$B$9)^(I4-'📋 ASSUMPTIONS'!$B$12-1))</f>
        <v>0.8858423808639998</v>
      </c>
      <c r="J5" s="60">
        <f>IF(J4&lt;='📋 ASSUMPTIONS'!$B$12,(1-'📋 ASSUMPTIONS'!$B$9)^(J4-1),0.95*(1-'📋 ASSUMPTIONS'!$B$9)^(J4-'📋 ASSUMPTIONS'!$B$12-1))</f>
        <v>0.86812553324671982</v>
      </c>
      <c r="K5" s="60">
        <f>IF(K4&lt;='📋 ASSUMPTIONS'!$B$12,(1-'📋 ASSUMPTIONS'!$B$9)^(K4-1),0.95*(1-'📋 ASSUMPTIONS'!$B$9)^(K4-'📋 ASSUMPTIONS'!$B$12-1))</f>
        <v>0.85076302258178538</v>
      </c>
      <c r="L5" s="60">
        <f>IF(L4&lt;='📋 ASSUMPTIONS'!$B$12,(1-'📋 ASSUMPTIONS'!$B$9)^(L4-1),0.95*(1-'📋 ASSUMPTIONS'!$B$9)^(L4-'📋 ASSUMPTIONS'!$B$12-1))</f>
        <v>0.83374776213014967</v>
      </c>
      <c r="M5" s="60">
        <f>IF(M4&lt;='📋 ASSUMPTIONS'!$B$12,(1-'📋 ASSUMPTIONS'!$B$9)^(M4-1),0.95*(1-'📋 ASSUMPTIONS'!$B$9)^(M4-'📋 ASSUMPTIONS'!$B$12-1))</f>
        <v>0.95</v>
      </c>
      <c r="N5" s="60">
        <f>IF(N4&lt;='📋 ASSUMPTIONS'!$B$12,(1-'📋 ASSUMPTIONS'!$B$9)^(N4-1),0.95*(1-'📋 ASSUMPTIONS'!$B$9)^(N4-'📋 ASSUMPTIONS'!$B$12-1))</f>
        <v>0.93099999999999994</v>
      </c>
      <c r="O5" s="60">
        <f>IF(O4&lt;='📋 ASSUMPTIONS'!$B$12,(1-'📋 ASSUMPTIONS'!$B$9)^(O4-1),0.95*(1-'📋 ASSUMPTIONS'!$B$9)^(O4-'📋 ASSUMPTIONS'!$B$12-1))</f>
        <v>0.91237999999999986</v>
      </c>
      <c r="P5" s="60">
        <f>IF(P4&lt;='📋 ASSUMPTIONS'!$B$12,(1-'📋 ASSUMPTIONS'!$B$9)^(P4-1),0.95*(1-'📋 ASSUMPTIONS'!$B$9)^(P4-'📋 ASSUMPTIONS'!$B$12-1))</f>
        <v>0.89413239999999983</v>
      </c>
      <c r="Q5" s="60">
        <f>IF(Q4&lt;='📋 ASSUMPTIONS'!$B$12,(1-'📋 ASSUMPTIONS'!$B$9)^(Q4-1),0.95*(1-'📋 ASSUMPTIONS'!$B$9)^(Q4-'📋 ASSUMPTIONS'!$B$12-1))</f>
        <v>0.87624975199999988</v>
      </c>
      <c r="R5" s="60">
        <f>IF(R4&lt;='📋 ASSUMPTIONS'!$B$12,(1-'📋 ASSUMPTIONS'!$B$9)^(R4-1),0.95*(1-'📋 ASSUMPTIONS'!$B$9)^(R4-'📋 ASSUMPTIONS'!$B$12-1))</f>
        <v>0.85872475695999984</v>
      </c>
      <c r="S5" s="60">
        <f>IF(S4&lt;='📋 ASSUMPTIONS'!$B$12,(1-'📋 ASSUMPTIONS'!$B$9)^(S4-1),0.95*(1-'📋 ASSUMPTIONS'!$B$9)^(S4-'📋 ASSUMPTIONS'!$B$12-1))</f>
        <v>0.84155026182079973</v>
      </c>
      <c r="T5" s="60">
        <f>IF(T4&lt;='📋 ASSUMPTIONS'!$B$12,(1-'📋 ASSUMPTIONS'!$B$9)^(T4-1),0.95*(1-'📋 ASSUMPTIONS'!$B$9)^(T4-'📋 ASSUMPTIONS'!$B$12-1))</f>
        <v>0.82471925658438383</v>
      </c>
      <c r="U5" s="60">
        <f>IF(U4&lt;='📋 ASSUMPTIONS'!$B$12,(1-'📋 ASSUMPTIONS'!$B$9)^(U4-1),0.95*(1-'📋 ASSUMPTIONS'!$B$9)^(U4-'📋 ASSUMPTIONS'!$B$12-1))</f>
        <v>0.80822487145269606</v>
      </c>
      <c r="V5" s="60">
        <f>IF(V4&lt;='📋 ASSUMPTIONS'!$B$12,(1-'📋 ASSUMPTIONS'!$B$9)^(V4-1),0.95*(1-'📋 ASSUMPTIONS'!$B$9)^(V4-'📋 ASSUMPTIONS'!$B$12-1))</f>
        <v>0.79206037402364216</v>
      </c>
    </row>
    <row r="6" spans="1:22" ht="15" customHeight="1" x14ac:dyDescent="0.25">
      <c r="A6" s="14" t="s">
        <v>215</v>
      </c>
      <c r="B6" s="33"/>
      <c r="C6" s="61">
        <f>'📋 ASSUMPTIONS'!$B$5*C5*'📋 ASSUMPTIONS'!$B$10</f>
        <v>245</v>
      </c>
      <c r="D6" s="61">
        <f>'📋 ASSUMPTIONS'!$B$5*D5*'📋 ASSUMPTIONS'!$B$10</f>
        <v>240.1</v>
      </c>
      <c r="E6" s="61">
        <f>'📋 ASSUMPTIONS'!$B$5*E5*'📋 ASSUMPTIONS'!$B$10</f>
        <v>235.29799999999997</v>
      </c>
      <c r="F6" s="61">
        <f>'📋 ASSUMPTIONS'!$B$5*F5*'📋 ASSUMPTIONS'!$B$10</f>
        <v>230.59203999999997</v>
      </c>
      <c r="G6" s="61">
        <f>'📋 ASSUMPTIONS'!$B$5*G5*'📋 ASSUMPTIONS'!$B$10</f>
        <v>225.98019919999996</v>
      </c>
      <c r="H6" s="61">
        <f>'📋 ASSUMPTIONS'!$B$5*H5*'📋 ASSUMPTIONS'!$B$10</f>
        <v>221.46059521599994</v>
      </c>
      <c r="I6" s="61">
        <f>'📋 ASSUMPTIONS'!$B$5*I5*'📋 ASSUMPTIONS'!$B$10</f>
        <v>217.03138331167995</v>
      </c>
      <c r="J6" s="61">
        <f>'📋 ASSUMPTIONS'!$B$5*J5*'📋 ASSUMPTIONS'!$B$10</f>
        <v>212.69075564544633</v>
      </c>
      <c r="K6" s="61">
        <f>'📋 ASSUMPTIONS'!$B$5*K5*'📋 ASSUMPTIONS'!$B$10</f>
        <v>208.43694053253739</v>
      </c>
      <c r="L6" s="61">
        <f>'📋 ASSUMPTIONS'!$B$5*L5*'📋 ASSUMPTIONS'!$B$10</f>
        <v>204.26820172188667</v>
      </c>
      <c r="M6" s="61">
        <f>'📋 ASSUMPTIONS'!$B$5*M5*'📋 ASSUMPTIONS'!$B$10</f>
        <v>232.75</v>
      </c>
      <c r="N6" s="61">
        <f>'📋 ASSUMPTIONS'!$B$5*N5*'📋 ASSUMPTIONS'!$B$10</f>
        <v>228.09499999999997</v>
      </c>
      <c r="O6" s="61">
        <f>'📋 ASSUMPTIONS'!$B$5*O5*'📋 ASSUMPTIONS'!$B$10</f>
        <v>223.53309999999996</v>
      </c>
      <c r="P6" s="61">
        <f>'📋 ASSUMPTIONS'!$B$5*P5*'📋 ASSUMPTIONS'!$B$10</f>
        <v>219.06243799999996</v>
      </c>
      <c r="Q6" s="61">
        <f>'📋 ASSUMPTIONS'!$B$5*Q5*'📋 ASSUMPTIONS'!$B$10</f>
        <v>214.68118923999995</v>
      </c>
      <c r="R6" s="61">
        <f>'📋 ASSUMPTIONS'!$B$5*R5*'📋 ASSUMPTIONS'!$B$10</f>
        <v>210.38756545519996</v>
      </c>
      <c r="S6" s="61">
        <f>'📋 ASSUMPTIONS'!$B$5*S5*'📋 ASSUMPTIONS'!$B$10</f>
        <v>206.17981414609594</v>
      </c>
      <c r="T6" s="61">
        <f>'📋 ASSUMPTIONS'!$B$5*T5*'📋 ASSUMPTIONS'!$B$10</f>
        <v>202.05621786317406</v>
      </c>
      <c r="U6" s="61">
        <f>'📋 ASSUMPTIONS'!$B$5*U5*'📋 ASSUMPTIONS'!$B$10</f>
        <v>198.01509350591056</v>
      </c>
      <c r="V6" s="61">
        <f>'📋 ASSUMPTIONS'!$B$5*V5*'📋 ASSUMPTIONS'!$B$10</f>
        <v>194.05479163579233</v>
      </c>
    </row>
    <row r="7" spans="1:22" ht="15" customHeight="1" x14ac:dyDescent="0.25">
      <c r="A7" s="42" t="s">
        <v>216</v>
      </c>
      <c r="B7" s="40"/>
      <c r="C7" s="62">
        <f>IF(C4&lt;='📋 ASSUMPTIONS'!$B$45,'📋 ASSUMPTIONS'!$B$42*(1+'📋 ASSUMPTIONS'!$B$43)^(C4-1),'📋 ASSUMPTIONS'!$B$42*'📋 ASSUMPTIONS'!$B$46)</f>
        <v>21.3</v>
      </c>
      <c r="D7" s="62">
        <f>IF(D4&lt;='📋 ASSUMPTIONS'!$B$45,'📋 ASSUMPTIONS'!$B$42*(1+'📋 ASSUMPTIONS'!$B$43)^(D4-1),'📋 ASSUMPTIONS'!$B$42*'📋 ASSUMPTIONS'!$B$46)</f>
        <v>21.3</v>
      </c>
      <c r="E7" s="62">
        <f>IF(E4&lt;='📋 ASSUMPTIONS'!$B$45,'📋 ASSUMPTIONS'!$B$42*(1+'📋 ASSUMPTIONS'!$B$43)^(E4-1),'📋 ASSUMPTIONS'!$B$42*'📋 ASSUMPTIONS'!$B$46)</f>
        <v>21.3</v>
      </c>
      <c r="F7" s="62">
        <f>IF(F4&lt;='📋 ASSUMPTIONS'!$B$45,'📋 ASSUMPTIONS'!$B$42*(1+'📋 ASSUMPTIONS'!$B$43)^(F4-1),'📋 ASSUMPTIONS'!$B$42*'📋 ASSUMPTIONS'!$B$46)</f>
        <v>21.3</v>
      </c>
      <c r="G7" s="62">
        <f>IF(G4&lt;='📋 ASSUMPTIONS'!$B$45,'📋 ASSUMPTIONS'!$B$42*(1+'📋 ASSUMPTIONS'!$B$43)^(G4-1),'📋 ASSUMPTIONS'!$B$42*'📋 ASSUMPTIONS'!$B$46)</f>
        <v>21.3</v>
      </c>
      <c r="H7" s="62">
        <f>IF(H4&lt;='📋 ASSUMPTIONS'!$B$45,'📋 ASSUMPTIONS'!$B$42*(1+'📋 ASSUMPTIONS'!$B$43)^(H4-1),'📋 ASSUMPTIONS'!$B$42*'📋 ASSUMPTIONS'!$B$46)</f>
        <v>21.3</v>
      </c>
      <c r="I7" s="62">
        <f>IF(I4&lt;='📋 ASSUMPTIONS'!$B$45,'📋 ASSUMPTIONS'!$B$42*(1+'📋 ASSUMPTIONS'!$B$43)^(I4-1),'📋 ASSUMPTIONS'!$B$42*'📋 ASSUMPTIONS'!$B$46)</f>
        <v>21.3</v>
      </c>
      <c r="J7" s="62">
        <f>IF(J4&lt;='📋 ASSUMPTIONS'!$B$45,'📋 ASSUMPTIONS'!$B$42*(1+'📋 ASSUMPTIONS'!$B$43)^(J4-1),'📋 ASSUMPTIONS'!$B$42*'📋 ASSUMPTIONS'!$B$46)</f>
        <v>21.3</v>
      </c>
      <c r="K7" s="62">
        <f>IF(K4&lt;='📋 ASSUMPTIONS'!$B$45,'📋 ASSUMPTIONS'!$B$42*(1+'📋 ASSUMPTIONS'!$B$43)^(K4-1),'📋 ASSUMPTIONS'!$B$42*'📋 ASSUMPTIONS'!$B$46)</f>
        <v>21.3</v>
      </c>
      <c r="L7" s="62">
        <f>IF(L4&lt;='📋 ASSUMPTIONS'!$B$45,'📋 ASSUMPTIONS'!$B$42*(1+'📋 ASSUMPTIONS'!$B$43)^(L4-1),'📋 ASSUMPTIONS'!$B$42*'📋 ASSUMPTIONS'!$B$46)</f>
        <v>21.3</v>
      </c>
      <c r="M7" s="62">
        <f>IF(M4&lt;='📋 ASSUMPTIONS'!$B$45,'📋 ASSUMPTIONS'!$B$42*(1+'📋 ASSUMPTIONS'!$B$43)^(M4-1),'📋 ASSUMPTIONS'!$B$42*'📋 ASSUMPTIONS'!$B$46)</f>
        <v>21.3</v>
      </c>
      <c r="N7" s="62">
        <f>IF(N4&lt;='📋 ASSUMPTIONS'!$B$45,'📋 ASSUMPTIONS'!$B$42*(1+'📋 ASSUMPTIONS'!$B$43)^(N4-1),'📋 ASSUMPTIONS'!$B$42*'📋 ASSUMPTIONS'!$B$46)</f>
        <v>21.3</v>
      </c>
      <c r="O7" s="62">
        <f>IF(O4&lt;='📋 ASSUMPTIONS'!$B$45,'📋 ASSUMPTIONS'!$B$42*(1+'📋 ASSUMPTIONS'!$B$43)^(O4-1),'📋 ASSUMPTIONS'!$B$42*'📋 ASSUMPTIONS'!$B$46)</f>
        <v>14.91</v>
      </c>
      <c r="P7" s="62">
        <f>IF(P4&lt;='📋 ASSUMPTIONS'!$B$45,'📋 ASSUMPTIONS'!$B$42*(1+'📋 ASSUMPTIONS'!$B$43)^(P4-1),'📋 ASSUMPTIONS'!$B$42*'📋 ASSUMPTIONS'!$B$46)</f>
        <v>14.91</v>
      </c>
      <c r="Q7" s="62">
        <f>IF(Q4&lt;='📋 ASSUMPTIONS'!$B$45,'📋 ASSUMPTIONS'!$B$42*(1+'📋 ASSUMPTIONS'!$B$43)^(Q4-1),'📋 ASSUMPTIONS'!$B$42*'📋 ASSUMPTIONS'!$B$46)</f>
        <v>14.91</v>
      </c>
      <c r="R7" s="62">
        <f>IF(R4&lt;='📋 ASSUMPTIONS'!$B$45,'📋 ASSUMPTIONS'!$B$42*(1+'📋 ASSUMPTIONS'!$B$43)^(R4-1),'📋 ASSUMPTIONS'!$B$42*'📋 ASSUMPTIONS'!$B$46)</f>
        <v>14.91</v>
      </c>
      <c r="S7" s="62">
        <f>IF(S4&lt;='📋 ASSUMPTIONS'!$B$45,'📋 ASSUMPTIONS'!$B$42*(1+'📋 ASSUMPTIONS'!$B$43)^(S4-1),'📋 ASSUMPTIONS'!$B$42*'📋 ASSUMPTIONS'!$B$46)</f>
        <v>14.91</v>
      </c>
      <c r="T7" s="62">
        <f>IF(T4&lt;='📋 ASSUMPTIONS'!$B$45,'📋 ASSUMPTIONS'!$B$42*(1+'📋 ASSUMPTIONS'!$B$43)^(T4-1),'📋 ASSUMPTIONS'!$B$42*'📋 ASSUMPTIONS'!$B$46)</f>
        <v>14.91</v>
      </c>
      <c r="U7" s="62">
        <f>IF(U4&lt;='📋 ASSUMPTIONS'!$B$45,'📋 ASSUMPTIONS'!$B$42*(1+'📋 ASSUMPTIONS'!$B$43)^(U4-1),'📋 ASSUMPTIONS'!$B$42*'📋 ASSUMPTIONS'!$B$46)</f>
        <v>14.91</v>
      </c>
      <c r="V7" s="62">
        <f>IF(V4&lt;='📋 ASSUMPTIONS'!$B$45,'📋 ASSUMPTIONS'!$B$42*(1+'📋 ASSUMPTIONS'!$B$43)^(V4-1),'📋 ASSUMPTIONS'!$B$42*'📋 ASSUMPTIONS'!$B$46)</f>
        <v>14.91</v>
      </c>
    </row>
    <row r="8" spans="1:22" ht="15" customHeight="1" x14ac:dyDescent="0.25">
      <c r="A8" s="63" t="s">
        <v>217</v>
      </c>
      <c r="B8" s="48"/>
      <c r="C8" s="64">
        <f t="shared" ref="C8:V8" si="0">C6*C7/100</f>
        <v>52.185000000000002</v>
      </c>
      <c r="D8" s="64">
        <f t="shared" si="0"/>
        <v>51.141300000000001</v>
      </c>
      <c r="E8" s="64">
        <f t="shared" si="0"/>
        <v>50.118473999999999</v>
      </c>
      <c r="F8" s="64">
        <f t="shared" si="0"/>
        <v>49.11610452</v>
      </c>
      <c r="G8" s="64">
        <f t="shared" si="0"/>
        <v>48.133782429599997</v>
      </c>
      <c r="H8" s="64">
        <f t="shared" si="0"/>
        <v>47.171106781007992</v>
      </c>
      <c r="I8" s="64">
        <f t="shared" si="0"/>
        <v>46.227684645387825</v>
      </c>
      <c r="J8" s="64">
        <f t="shared" si="0"/>
        <v>45.303130952480068</v>
      </c>
      <c r="K8" s="64">
        <f t="shared" si="0"/>
        <v>44.397068333430468</v>
      </c>
      <c r="L8" s="64">
        <f t="shared" si="0"/>
        <v>43.509126966761862</v>
      </c>
      <c r="M8" s="64">
        <f t="shared" si="0"/>
        <v>49.575749999999999</v>
      </c>
      <c r="N8" s="64">
        <f t="shared" si="0"/>
        <v>48.584235</v>
      </c>
      <c r="O8" s="64">
        <f t="shared" si="0"/>
        <v>33.328785209999999</v>
      </c>
      <c r="P8" s="64">
        <f t="shared" si="0"/>
        <v>32.662209505799993</v>
      </c>
      <c r="Q8" s="64">
        <f t="shared" si="0"/>
        <v>32.008965315683994</v>
      </c>
      <c r="R8" s="64">
        <f t="shared" si="0"/>
        <v>31.368786009370314</v>
      </c>
      <c r="S8" s="64">
        <f t="shared" si="0"/>
        <v>30.741410289182905</v>
      </c>
      <c r="T8" s="64">
        <f t="shared" si="0"/>
        <v>30.126582083399253</v>
      </c>
      <c r="U8" s="64">
        <f t="shared" si="0"/>
        <v>29.524050441731266</v>
      </c>
      <c r="V8" s="64">
        <f t="shared" si="0"/>
        <v>28.93356943289664</v>
      </c>
    </row>
    <row r="9" spans="1:22" ht="15" customHeight="1" x14ac:dyDescent="0.25">
      <c r="A9" s="14" t="s">
        <v>218</v>
      </c>
      <c r="B9" s="33"/>
      <c r="C9" s="22">
        <f>'📋 ASSUMPTIONS'!$B$6*C5*'📋 ASSUMPTIONS'!$B$11*365*'📋 ASSUMPTIONS'!$B$8</f>
        <v>160600</v>
      </c>
      <c r="D9" s="22">
        <f>'📋 ASSUMPTIONS'!$B$6*D5*'📋 ASSUMPTIONS'!$B$11*365*'📋 ASSUMPTIONS'!$B$8</f>
        <v>157388</v>
      </c>
      <c r="E9" s="22">
        <f>'📋 ASSUMPTIONS'!$B$6*E5*'📋 ASSUMPTIONS'!$B$11*365*'📋 ASSUMPTIONS'!$B$8</f>
        <v>154240.23999999996</v>
      </c>
      <c r="F9" s="22">
        <f>'📋 ASSUMPTIONS'!$B$6*F5*'📋 ASSUMPTIONS'!$B$11*365*'📋 ASSUMPTIONS'!$B$8</f>
        <v>151155.43519999998</v>
      </c>
      <c r="G9" s="22">
        <f>'📋 ASSUMPTIONS'!$B$6*G5*'📋 ASSUMPTIONS'!$B$11*365*'📋 ASSUMPTIONS'!$B$8</f>
        <v>148132.32649599997</v>
      </c>
      <c r="H9" s="22">
        <f>'📋 ASSUMPTIONS'!$B$6*H5*'📋 ASSUMPTIONS'!$B$11*365*'📋 ASSUMPTIONS'!$B$8</f>
        <v>145169.67996607997</v>
      </c>
      <c r="I9" s="22">
        <f>'📋 ASSUMPTIONS'!$B$6*I5*'📋 ASSUMPTIONS'!$B$11*365*'📋 ASSUMPTIONS'!$B$8</f>
        <v>142266.28636675837</v>
      </c>
      <c r="J9" s="22">
        <f>'📋 ASSUMPTIONS'!$B$6*J5*'📋 ASSUMPTIONS'!$B$11*365*'📋 ASSUMPTIONS'!$B$8</f>
        <v>139420.9606394232</v>
      </c>
      <c r="K9" s="22">
        <f>'📋 ASSUMPTIONS'!$B$6*K5*'📋 ASSUMPTIONS'!$B$11*365*'📋 ASSUMPTIONS'!$B$8</f>
        <v>136632.54142663474</v>
      </c>
      <c r="L9" s="22">
        <f>'📋 ASSUMPTIONS'!$B$6*L5*'📋 ASSUMPTIONS'!$B$11*365*'📋 ASSUMPTIONS'!$B$8</f>
        <v>133899.89059810204</v>
      </c>
      <c r="M9" s="22">
        <f>'📋 ASSUMPTIONS'!$B$6*M5*'📋 ASSUMPTIONS'!$B$11*365*'📋 ASSUMPTIONS'!$B$8</f>
        <v>152570</v>
      </c>
      <c r="N9" s="22">
        <f>'📋 ASSUMPTIONS'!$B$6*N5*'📋 ASSUMPTIONS'!$B$11*365*'📋 ASSUMPTIONS'!$B$8</f>
        <v>149518.59999999998</v>
      </c>
      <c r="O9" s="22">
        <f>'📋 ASSUMPTIONS'!$B$6*O5*'📋 ASSUMPTIONS'!$B$11*365*'📋 ASSUMPTIONS'!$B$8</f>
        <v>146528.22799999997</v>
      </c>
      <c r="P9" s="22">
        <f>'📋 ASSUMPTIONS'!$B$6*P5*'📋 ASSUMPTIONS'!$B$11*365*'📋 ASSUMPTIONS'!$B$8</f>
        <v>143597.66343999997</v>
      </c>
      <c r="Q9" s="22">
        <f>'📋 ASSUMPTIONS'!$B$6*Q5*'📋 ASSUMPTIONS'!$B$11*365*'📋 ASSUMPTIONS'!$B$8</f>
        <v>140725.71017119996</v>
      </c>
      <c r="R9" s="22">
        <f>'📋 ASSUMPTIONS'!$B$6*R5*'📋 ASSUMPTIONS'!$B$11*365*'📋 ASSUMPTIONS'!$B$8</f>
        <v>137911.19596777597</v>
      </c>
      <c r="S9" s="22">
        <f>'📋 ASSUMPTIONS'!$B$6*S5*'📋 ASSUMPTIONS'!$B$11*365*'📋 ASSUMPTIONS'!$B$8</f>
        <v>135152.97204842046</v>
      </c>
      <c r="T9" s="22">
        <f>'📋 ASSUMPTIONS'!$B$6*T5*'📋 ASSUMPTIONS'!$B$11*365*'📋 ASSUMPTIONS'!$B$8</f>
        <v>132449.91260745205</v>
      </c>
      <c r="U9" s="22">
        <f>'📋 ASSUMPTIONS'!$B$6*U5*'📋 ASSUMPTIONS'!$B$11*365*'📋 ASSUMPTIONS'!$B$8</f>
        <v>129800.91435530299</v>
      </c>
      <c r="V9" s="22">
        <f>'📋 ASSUMPTIONS'!$B$6*V5*'📋 ASSUMPTIONS'!$B$11*365*'📋 ASSUMPTIONS'!$B$8</f>
        <v>127204.89606819692</v>
      </c>
    </row>
    <row r="10" spans="1:22" ht="15" customHeight="1" x14ac:dyDescent="0.25">
      <c r="A10" s="63" t="s">
        <v>219</v>
      </c>
      <c r="B10" s="48"/>
      <c r="C10" s="64">
        <f>C9*'📋 ASSUMPTIONS'!$B$44*1000/10000000</f>
        <v>0</v>
      </c>
      <c r="D10" s="64">
        <f>D9*'📋 ASSUMPTIONS'!$B$44*1000/10000000</f>
        <v>0</v>
      </c>
      <c r="E10" s="64">
        <f>E9*'📋 ASSUMPTIONS'!$B$44*1000/10000000</f>
        <v>0</v>
      </c>
      <c r="F10" s="64">
        <f>F9*'📋 ASSUMPTIONS'!$B$44*1000/10000000</f>
        <v>0</v>
      </c>
      <c r="G10" s="64">
        <f>G9*'📋 ASSUMPTIONS'!$B$44*1000/10000000</f>
        <v>0</v>
      </c>
      <c r="H10" s="64">
        <f>H9*'📋 ASSUMPTIONS'!$B$44*1000/10000000</f>
        <v>0</v>
      </c>
      <c r="I10" s="64">
        <f>I9*'📋 ASSUMPTIONS'!$B$44*1000/10000000</f>
        <v>0</v>
      </c>
      <c r="J10" s="64">
        <f>J9*'📋 ASSUMPTIONS'!$B$44*1000/10000000</f>
        <v>0</v>
      </c>
      <c r="K10" s="64">
        <f>K9*'📋 ASSUMPTIONS'!$B$44*1000/10000000</f>
        <v>0</v>
      </c>
      <c r="L10" s="64">
        <f>L9*'📋 ASSUMPTIONS'!$B$44*1000/10000000</f>
        <v>0</v>
      </c>
      <c r="M10" s="64">
        <f>M9*'📋 ASSUMPTIONS'!$B$44*1000/10000000</f>
        <v>0</v>
      </c>
      <c r="N10" s="64">
        <f>N9*'📋 ASSUMPTIONS'!$B$44*1000/10000000</f>
        <v>0</v>
      </c>
      <c r="O10" s="64">
        <f>O9*'📋 ASSUMPTIONS'!$B$44*1000/10000000</f>
        <v>0</v>
      </c>
      <c r="P10" s="64">
        <f>P9*'📋 ASSUMPTIONS'!$B$44*1000/10000000</f>
        <v>0</v>
      </c>
      <c r="Q10" s="64">
        <f>Q9*'📋 ASSUMPTIONS'!$B$44*1000/10000000</f>
        <v>0</v>
      </c>
      <c r="R10" s="64">
        <f>R9*'📋 ASSUMPTIONS'!$B$44*1000/10000000</f>
        <v>0</v>
      </c>
      <c r="S10" s="64">
        <f>S9*'📋 ASSUMPTIONS'!$B$44*1000/10000000</f>
        <v>0</v>
      </c>
      <c r="T10" s="64">
        <f>T9*'📋 ASSUMPTIONS'!$B$44*1000/10000000</f>
        <v>0</v>
      </c>
      <c r="U10" s="64">
        <f>U9*'📋 ASSUMPTIONS'!$B$44*1000/10000000</f>
        <v>0</v>
      </c>
      <c r="V10" s="64">
        <f>V9*'📋 ASSUMPTIONS'!$B$44*1000/10000000</f>
        <v>0</v>
      </c>
    </row>
    <row r="11" spans="1:22" ht="15" customHeight="1" x14ac:dyDescent="0.25">
      <c r="A11" s="65" t="s">
        <v>220</v>
      </c>
      <c r="B11" s="66"/>
      <c r="C11" s="67">
        <f t="shared" ref="C11:V11" si="1">C8+C10</f>
        <v>52.185000000000002</v>
      </c>
      <c r="D11" s="67">
        <f t="shared" si="1"/>
        <v>51.141300000000001</v>
      </c>
      <c r="E11" s="67">
        <f t="shared" si="1"/>
        <v>50.118473999999999</v>
      </c>
      <c r="F11" s="67">
        <f t="shared" si="1"/>
        <v>49.11610452</v>
      </c>
      <c r="G11" s="67">
        <f t="shared" si="1"/>
        <v>48.133782429599997</v>
      </c>
      <c r="H11" s="67">
        <f t="shared" si="1"/>
        <v>47.171106781007992</v>
      </c>
      <c r="I11" s="67">
        <f t="shared" si="1"/>
        <v>46.227684645387825</v>
      </c>
      <c r="J11" s="67">
        <f t="shared" si="1"/>
        <v>45.303130952480068</v>
      </c>
      <c r="K11" s="67">
        <f t="shared" si="1"/>
        <v>44.397068333430468</v>
      </c>
      <c r="L11" s="67">
        <f t="shared" si="1"/>
        <v>43.509126966761862</v>
      </c>
      <c r="M11" s="67">
        <f t="shared" si="1"/>
        <v>49.575749999999999</v>
      </c>
      <c r="N11" s="67">
        <f t="shared" si="1"/>
        <v>48.584235</v>
      </c>
      <c r="O11" s="67">
        <f t="shared" si="1"/>
        <v>33.328785209999999</v>
      </c>
      <c r="P11" s="67">
        <f t="shared" si="1"/>
        <v>32.662209505799993</v>
      </c>
      <c r="Q11" s="67">
        <f t="shared" si="1"/>
        <v>32.008965315683994</v>
      </c>
      <c r="R11" s="67">
        <f t="shared" si="1"/>
        <v>31.368786009370314</v>
      </c>
      <c r="S11" s="67">
        <f t="shared" si="1"/>
        <v>30.741410289182905</v>
      </c>
      <c r="T11" s="67">
        <f t="shared" si="1"/>
        <v>30.126582083399253</v>
      </c>
      <c r="U11" s="67">
        <f t="shared" si="1"/>
        <v>29.524050441731266</v>
      </c>
      <c r="V11" s="67">
        <f t="shared" si="1"/>
        <v>28.93356943289664</v>
      </c>
    </row>
    <row r="13" spans="1:22" ht="15" customHeight="1" x14ac:dyDescent="0.25">
      <c r="A13" s="144" t="s">
        <v>221</v>
      </c>
      <c r="B13" s="144"/>
      <c r="C13" s="144"/>
      <c r="D13" s="144"/>
      <c r="E13" s="144"/>
      <c r="F13" s="144"/>
      <c r="G13" s="144"/>
      <c r="H13" s="144"/>
      <c r="I13" s="144"/>
      <c r="J13" s="144"/>
      <c r="K13" s="144"/>
      <c r="L13" s="144"/>
      <c r="M13" s="144"/>
      <c r="N13" s="144"/>
      <c r="O13" s="144"/>
      <c r="P13" s="144"/>
      <c r="Q13" s="144"/>
      <c r="R13" s="144"/>
      <c r="S13" s="144"/>
      <c r="T13" s="144"/>
      <c r="U13" s="144"/>
      <c r="V13" s="144"/>
    </row>
  </sheetData>
  <mergeCells count="3">
    <mergeCell ref="A1:V1"/>
    <mergeCell ref="A2:V2"/>
    <mergeCell ref="A13:V13"/>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04000"/>
  </sheetPr>
  <dimension ref="A1:V10"/>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140" t="s">
        <v>222</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223</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5" customHeight="1" x14ac:dyDescent="0.25">
      <c r="A4" s="14" t="s">
        <v>213</v>
      </c>
      <c r="B4" s="33"/>
      <c r="C4" s="59">
        <v>1</v>
      </c>
      <c r="D4" s="59">
        <v>2</v>
      </c>
      <c r="E4" s="59">
        <v>3</v>
      </c>
      <c r="F4" s="59">
        <v>4</v>
      </c>
      <c r="G4" s="59">
        <v>5</v>
      </c>
      <c r="H4" s="59">
        <v>6</v>
      </c>
      <c r="I4" s="59">
        <v>7</v>
      </c>
      <c r="J4" s="59">
        <v>8</v>
      </c>
      <c r="K4" s="59">
        <v>9</v>
      </c>
      <c r="L4" s="59">
        <v>10</v>
      </c>
      <c r="M4" s="59">
        <v>11</v>
      </c>
      <c r="N4" s="59">
        <v>12</v>
      </c>
      <c r="O4" s="59">
        <v>13</v>
      </c>
      <c r="P4" s="59">
        <v>14</v>
      </c>
      <c r="Q4" s="59">
        <v>15</v>
      </c>
      <c r="R4" s="59">
        <v>16</v>
      </c>
      <c r="S4" s="59">
        <v>17</v>
      </c>
      <c r="T4" s="59">
        <v>18</v>
      </c>
      <c r="U4" s="59">
        <v>19</v>
      </c>
      <c r="V4" s="59">
        <v>20</v>
      </c>
    </row>
    <row r="5" spans="1:22" ht="15" customHeight="1" x14ac:dyDescent="0.25">
      <c r="A5" s="68" t="s">
        <v>224</v>
      </c>
      <c r="B5" s="20"/>
      <c r="C5" s="69">
        <f>'📋 ASSUMPTIONS'!$B$5*'📋 ASSUMPTIONS'!$B$50/100*(1+'📋 ASSUMPTIONS'!$B$51)^(C4-1)</f>
        <v>15</v>
      </c>
      <c r="D5" s="69">
        <f>'📋 ASSUMPTIONS'!$B$5*'📋 ASSUMPTIONS'!$B$50/100*(1+'📋 ASSUMPTIONS'!$B$51)^(D4-1)</f>
        <v>15.75</v>
      </c>
      <c r="E5" s="69">
        <f>'📋 ASSUMPTIONS'!$B$5*'📋 ASSUMPTIONS'!$B$50/100*(1+'📋 ASSUMPTIONS'!$B$51)^(E4-1)</f>
        <v>16.537500000000001</v>
      </c>
      <c r="F5" s="69">
        <f>'📋 ASSUMPTIONS'!$B$5*'📋 ASSUMPTIONS'!$B$50/100*(1+'📋 ASSUMPTIONS'!$B$51)^(F4-1)</f>
        <v>17.364375000000003</v>
      </c>
      <c r="G5" s="69">
        <f>'📋 ASSUMPTIONS'!$B$5*'📋 ASSUMPTIONS'!$B$50/100*(1+'📋 ASSUMPTIONS'!$B$51)^(G4-1)</f>
        <v>18.232593749999999</v>
      </c>
      <c r="H5" s="69">
        <f>'📋 ASSUMPTIONS'!$B$5*'📋 ASSUMPTIONS'!$B$50/100*(1+'📋 ASSUMPTIONS'!$B$51)^(H4-1)</f>
        <v>19.144223437500003</v>
      </c>
      <c r="I5" s="69">
        <f>'📋 ASSUMPTIONS'!$B$5*'📋 ASSUMPTIONS'!$B$50/100*(1+'📋 ASSUMPTIONS'!$B$51)^(I4-1)</f>
        <v>20.101434609374998</v>
      </c>
      <c r="J5" s="69">
        <f>'📋 ASSUMPTIONS'!$B$5*'📋 ASSUMPTIONS'!$B$50/100*(1+'📋 ASSUMPTIONS'!$B$51)^(J4-1)</f>
        <v>21.106506339843754</v>
      </c>
      <c r="K5" s="69">
        <f>'📋 ASSUMPTIONS'!$B$5*'📋 ASSUMPTIONS'!$B$50/100*(1+'📋 ASSUMPTIONS'!$B$51)^(K4-1)</f>
        <v>22.16183165683594</v>
      </c>
      <c r="L5" s="69">
        <f>'📋 ASSUMPTIONS'!$B$5*'📋 ASSUMPTIONS'!$B$50/100*(1+'📋 ASSUMPTIONS'!$B$51)^(L4-1)</f>
        <v>23.269923239677738</v>
      </c>
      <c r="M5" s="69">
        <f>'📋 ASSUMPTIONS'!$B$5*'📋 ASSUMPTIONS'!$B$50/100*(1+'📋 ASSUMPTIONS'!$B$51)^(M4-1)</f>
        <v>24.433419401661624</v>
      </c>
      <c r="N5" s="69">
        <f>'📋 ASSUMPTIONS'!$B$5*'📋 ASSUMPTIONS'!$B$50/100*(1+'📋 ASSUMPTIONS'!$B$51)^(N4-1)</f>
        <v>25.655090371744706</v>
      </c>
      <c r="O5" s="69">
        <f>'📋 ASSUMPTIONS'!$B$5*'📋 ASSUMPTIONS'!$B$50/100*(1+'📋 ASSUMPTIONS'!$B$51)^(O4-1)</f>
        <v>26.937844890331938</v>
      </c>
      <c r="P5" s="69">
        <f>'📋 ASSUMPTIONS'!$B$5*'📋 ASSUMPTIONS'!$B$50/100*(1+'📋 ASSUMPTIONS'!$B$51)^(P4-1)</f>
        <v>28.284737134848541</v>
      </c>
      <c r="Q5" s="69">
        <f>'📋 ASSUMPTIONS'!$B$5*'📋 ASSUMPTIONS'!$B$50/100*(1+'📋 ASSUMPTIONS'!$B$51)^(Q4-1)</f>
        <v>29.698973991590961</v>
      </c>
      <c r="R5" s="69">
        <f>'📋 ASSUMPTIONS'!$B$5*'📋 ASSUMPTIONS'!$B$50/100*(1+'📋 ASSUMPTIONS'!$B$51)^(R4-1)</f>
        <v>31.183922691170519</v>
      </c>
      <c r="S5" s="69">
        <f>'📋 ASSUMPTIONS'!$B$5*'📋 ASSUMPTIONS'!$B$50/100*(1+'📋 ASSUMPTIONS'!$B$51)^(S4-1)</f>
        <v>32.743118825729042</v>
      </c>
      <c r="T5" s="69">
        <f>'📋 ASSUMPTIONS'!$B$5*'📋 ASSUMPTIONS'!$B$50/100*(1+'📋 ASSUMPTIONS'!$B$51)^(T4-1)</f>
        <v>34.3802747670155</v>
      </c>
      <c r="U5" s="69">
        <f>'📋 ASSUMPTIONS'!$B$5*'📋 ASSUMPTIONS'!$B$50/100*(1+'📋 ASSUMPTIONS'!$B$51)^(U4-1)</f>
        <v>36.099288505366275</v>
      </c>
      <c r="V5" s="69">
        <f>'📋 ASSUMPTIONS'!$B$5*'📋 ASSUMPTIONS'!$B$50/100*(1+'📋 ASSUMPTIONS'!$B$51)^(V4-1)</f>
        <v>37.904252930634584</v>
      </c>
    </row>
    <row r="6" spans="1:22" ht="15" customHeight="1" x14ac:dyDescent="0.25">
      <c r="A6" s="68" t="s">
        <v>225</v>
      </c>
      <c r="B6" s="20"/>
      <c r="C6" s="69">
        <f>'💰 CAPEX &amp; MOF'!$B$17*'📋 ASSUMPTIONS'!$B$52</f>
        <v>2.7551082650000001</v>
      </c>
      <c r="D6" s="69">
        <f>'💰 CAPEX &amp; MOF'!$B$17*'📋 ASSUMPTIONS'!$B$52</f>
        <v>2.7551082650000001</v>
      </c>
      <c r="E6" s="69">
        <f>'💰 CAPEX &amp; MOF'!$B$17*'📋 ASSUMPTIONS'!$B$52</f>
        <v>2.7551082650000001</v>
      </c>
      <c r="F6" s="69">
        <f>'💰 CAPEX &amp; MOF'!$B$17*'📋 ASSUMPTIONS'!$B$52</f>
        <v>2.7551082650000001</v>
      </c>
      <c r="G6" s="69">
        <f>'💰 CAPEX &amp; MOF'!$B$17*'📋 ASSUMPTIONS'!$B$52</f>
        <v>2.7551082650000001</v>
      </c>
      <c r="H6" s="69">
        <f>'💰 CAPEX &amp; MOF'!$B$17*'📋 ASSUMPTIONS'!$B$52</f>
        <v>2.7551082650000001</v>
      </c>
      <c r="I6" s="69">
        <f>'💰 CAPEX &amp; MOF'!$B$17*'📋 ASSUMPTIONS'!$B$52</f>
        <v>2.7551082650000001</v>
      </c>
      <c r="J6" s="69">
        <f>'💰 CAPEX &amp; MOF'!$B$17*'📋 ASSUMPTIONS'!$B$52</f>
        <v>2.7551082650000001</v>
      </c>
      <c r="K6" s="69">
        <f>'💰 CAPEX &amp; MOF'!$B$17*'📋 ASSUMPTIONS'!$B$52</f>
        <v>2.7551082650000001</v>
      </c>
      <c r="L6" s="69">
        <f>'💰 CAPEX &amp; MOF'!$B$17*'📋 ASSUMPTIONS'!$B$52</f>
        <v>2.7551082650000001</v>
      </c>
      <c r="M6" s="69">
        <f>'💰 CAPEX &amp; MOF'!$B$17*'📋 ASSUMPTIONS'!$B$52</f>
        <v>2.7551082650000001</v>
      </c>
      <c r="N6" s="69">
        <f>'💰 CAPEX &amp; MOF'!$B$17*'📋 ASSUMPTIONS'!$B$52</f>
        <v>2.7551082650000001</v>
      </c>
      <c r="O6" s="69">
        <f>'💰 CAPEX &amp; MOF'!$B$17*'📋 ASSUMPTIONS'!$B$52</f>
        <v>2.7551082650000001</v>
      </c>
      <c r="P6" s="69">
        <f>'💰 CAPEX &amp; MOF'!$B$17*'📋 ASSUMPTIONS'!$B$52</f>
        <v>2.7551082650000001</v>
      </c>
      <c r="Q6" s="69">
        <f>'💰 CAPEX &amp; MOF'!$B$17*'📋 ASSUMPTIONS'!$B$52</f>
        <v>2.7551082650000001</v>
      </c>
      <c r="R6" s="69">
        <f>'💰 CAPEX &amp; MOF'!$B$17*'📋 ASSUMPTIONS'!$B$52</f>
        <v>2.7551082650000001</v>
      </c>
      <c r="S6" s="69">
        <f>'💰 CAPEX &amp; MOF'!$B$17*'📋 ASSUMPTIONS'!$B$52</f>
        <v>2.7551082650000001</v>
      </c>
      <c r="T6" s="69">
        <f>'💰 CAPEX &amp; MOF'!$B$17*'📋 ASSUMPTIONS'!$B$52</f>
        <v>2.7551082650000001</v>
      </c>
      <c r="U6" s="69">
        <f>'💰 CAPEX &amp; MOF'!$B$17*'📋 ASSUMPTIONS'!$B$52</f>
        <v>2.7551082650000001</v>
      </c>
      <c r="V6" s="69">
        <f>'💰 CAPEX &amp; MOF'!$B$17*'📋 ASSUMPTIONS'!$B$52</f>
        <v>2.7551082650000001</v>
      </c>
    </row>
    <row r="7" spans="1:22" ht="15" customHeight="1" x14ac:dyDescent="0.25">
      <c r="A7" s="68" t="s">
        <v>226</v>
      </c>
      <c r="B7" s="20"/>
      <c r="C7" s="69">
        <f>'📋 ASSUMPTIONS'!$B$53*(1+'📋 ASSUMPTIONS'!$B$54)^(C4-1)</f>
        <v>0.5</v>
      </c>
      <c r="D7" s="69">
        <f>'📋 ASSUMPTIONS'!$B$53*(1+'📋 ASSUMPTIONS'!$B$54)^(D4-1)</f>
        <v>0.52500000000000002</v>
      </c>
      <c r="E7" s="69">
        <f>'📋 ASSUMPTIONS'!$B$53*(1+'📋 ASSUMPTIONS'!$B$54)^(E4-1)</f>
        <v>0.55125000000000002</v>
      </c>
      <c r="F7" s="69">
        <f>'📋 ASSUMPTIONS'!$B$53*(1+'📋 ASSUMPTIONS'!$B$54)^(F4-1)</f>
        <v>0.57881250000000006</v>
      </c>
      <c r="G7" s="69">
        <f>'📋 ASSUMPTIONS'!$B$53*(1+'📋 ASSUMPTIONS'!$B$54)^(G4-1)</f>
        <v>0.60775312500000001</v>
      </c>
      <c r="H7" s="69">
        <f>'📋 ASSUMPTIONS'!$B$53*(1+'📋 ASSUMPTIONS'!$B$54)^(H4-1)</f>
        <v>0.63814078125000007</v>
      </c>
      <c r="I7" s="69">
        <f>'📋 ASSUMPTIONS'!$B$53*(1+'📋 ASSUMPTIONS'!$B$54)^(I4-1)</f>
        <v>0.67004782031249999</v>
      </c>
      <c r="J7" s="69">
        <f>'📋 ASSUMPTIONS'!$B$53*(1+'📋 ASSUMPTIONS'!$B$54)^(J4-1)</f>
        <v>0.70355021132812512</v>
      </c>
      <c r="K7" s="69">
        <f>'📋 ASSUMPTIONS'!$B$53*(1+'📋 ASSUMPTIONS'!$B$54)^(K4-1)</f>
        <v>0.73872772189453129</v>
      </c>
      <c r="L7" s="69">
        <f>'📋 ASSUMPTIONS'!$B$53*(1+'📋 ASSUMPTIONS'!$B$54)^(L4-1)</f>
        <v>0.77566410798925789</v>
      </c>
      <c r="M7" s="69">
        <f>'📋 ASSUMPTIONS'!$B$53*(1+'📋 ASSUMPTIONS'!$B$54)^(M4-1)</f>
        <v>0.81444731338872078</v>
      </c>
      <c r="N7" s="69">
        <f>'📋 ASSUMPTIONS'!$B$53*(1+'📋 ASSUMPTIONS'!$B$54)^(N4-1)</f>
        <v>0.85516967905815688</v>
      </c>
      <c r="O7" s="69">
        <f>'📋 ASSUMPTIONS'!$B$53*(1+'📋 ASSUMPTIONS'!$B$54)^(O4-1)</f>
        <v>0.8979281630110646</v>
      </c>
      <c r="P7" s="69">
        <f>'📋 ASSUMPTIONS'!$B$53*(1+'📋 ASSUMPTIONS'!$B$54)^(P4-1)</f>
        <v>0.942824571161618</v>
      </c>
      <c r="Q7" s="69">
        <f>'📋 ASSUMPTIONS'!$B$53*(1+'📋 ASSUMPTIONS'!$B$54)^(Q4-1)</f>
        <v>0.98996579971969867</v>
      </c>
      <c r="R7" s="69">
        <f>'📋 ASSUMPTIONS'!$B$53*(1+'📋 ASSUMPTIONS'!$B$54)^(R4-1)</f>
        <v>1.0394640897056839</v>
      </c>
      <c r="S7" s="69">
        <f>'📋 ASSUMPTIONS'!$B$53*(1+'📋 ASSUMPTIONS'!$B$54)^(S4-1)</f>
        <v>1.091437294190968</v>
      </c>
      <c r="T7" s="69">
        <f>'📋 ASSUMPTIONS'!$B$53*(1+'📋 ASSUMPTIONS'!$B$54)^(T4-1)</f>
        <v>1.1460091589005166</v>
      </c>
      <c r="U7" s="69">
        <f>'📋 ASSUMPTIONS'!$B$53*(1+'📋 ASSUMPTIONS'!$B$54)^(U4-1)</f>
        <v>1.2033096168455424</v>
      </c>
      <c r="V7" s="69">
        <f>'📋 ASSUMPTIONS'!$B$53*(1+'📋 ASSUMPTIONS'!$B$54)^(V4-1)</f>
        <v>1.2634750976878195</v>
      </c>
    </row>
    <row r="8" spans="1:22" ht="15" customHeight="1" x14ac:dyDescent="0.25">
      <c r="A8" s="70" t="s">
        <v>227</v>
      </c>
      <c r="B8" s="32"/>
      <c r="C8" s="71">
        <f t="shared" ref="C8:V8" si="0">C5+C6+C7</f>
        <v>18.255108265000001</v>
      </c>
      <c r="D8" s="71">
        <f t="shared" si="0"/>
        <v>19.030108264999999</v>
      </c>
      <c r="E8" s="71">
        <f t="shared" si="0"/>
        <v>19.843858265000001</v>
      </c>
      <c r="F8" s="71">
        <f t="shared" si="0"/>
        <v>20.698295765000005</v>
      </c>
      <c r="G8" s="71">
        <f t="shared" si="0"/>
        <v>21.595455139999999</v>
      </c>
      <c r="H8" s="71">
        <f t="shared" si="0"/>
        <v>22.537472483750005</v>
      </c>
      <c r="I8" s="71">
        <f t="shared" si="0"/>
        <v>23.526590694687499</v>
      </c>
      <c r="J8" s="71">
        <f t="shared" si="0"/>
        <v>24.56516481617188</v>
      </c>
      <c r="K8" s="71">
        <f t="shared" si="0"/>
        <v>25.655667643730471</v>
      </c>
      <c r="L8" s="71">
        <f t="shared" si="0"/>
        <v>26.800695612666996</v>
      </c>
      <c r="M8" s="71">
        <f t="shared" si="0"/>
        <v>28.002974980050347</v>
      </c>
      <c r="N8" s="71">
        <f t="shared" si="0"/>
        <v>29.265368315802863</v>
      </c>
      <c r="O8" s="71">
        <f t="shared" si="0"/>
        <v>30.590881318343005</v>
      </c>
      <c r="P8" s="71">
        <f t="shared" si="0"/>
        <v>31.982669971010161</v>
      </c>
      <c r="Q8" s="71">
        <f t="shared" si="0"/>
        <v>33.444048056310656</v>
      </c>
      <c r="R8" s="71">
        <f t="shared" si="0"/>
        <v>34.978495045876201</v>
      </c>
      <c r="S8" s="71">
        <f t="shared" si="0"/>
        <v>36.589664384920006</v>
      </c>
      <c r="T8" s="71">
        <f t="shared" si="0"/>
        <v>38.281392190916016</v>
      </c>
      <c r="U8" s="71">
        <f t="shared" si="0"/>
        <v>40.057706387211816</v>
      </c>
      <c r="V8" s="71">
        <f t="shared" si="0"/>
        <v>41.922836293322398</v>
      </c>
    </row>
    <row r="10" spans="1:22" ht="15" customHeight="1" x14ac:dyDescent="0.25">
      <c r="A10" s="144" t="s">
        <v>228</v>
      </c>
      <c r="B10" s="144"/>
      <c r="C10" s="144"/>
      <c r="D10" s="144"/>
      <c r="E10" s="144"/>
      <c r="F10" s="144"/>
      <c r="G10" s="144"/>
      <c r="H10" s="144"/>
      <c r="I10" s="144"/>
      <c r="J10" s="144"/>
      <c r="K10" s="144"/>
      <c r="L10" s="144"/>
      <c r="M10" s="144"/>
      <c r="N10" s="144"/>
      <c r="O10" s="144"/>
      <c r="P10" s="144"/>
      <c r="Q10" s="144"/>
      <c r="R10" s="144"/>
      <c r="S10" s="144"/>
      <c r="T10" s="144"/>
      <c r="U10" s="144"/>
      <c r="V10" s="144"/>
    </row>
  </sheetData>
  <mergeCells count="3">
    <mergeCell ref="A1:V1"/>
    <mergeCell ref="A2:V2"/>
    <mergeCell ref="A10:V10"/>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4F72"/>
  </sheetPr>
  <dimension ref="A1:V20"/>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140" t="s">
        <v>229</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230</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9.5" customHeight="1" x14ac:dyDescent="0.25">
      <c r="A4" s="142" t="s">
        <v>231</v>
      </c>
      <c r="B4" s="142"/>
      <c r="C4" s="142"/>
      <c r="D4" s="142"/>
      <c r="E4" s="142"/>
      <c r="F4" s="142"/>
      <c r="G4" s="142"/>
      <c r="H4" s="142"/>
      <c r="I4" s="142"/>
      <c r="J4" s="142"/>
      <c r="K4" s="142"/>
      <c r="L4" s="142"/>
      <c r="M4" s="142"/>
      <c r="N4" s="142"/>
      <c r="O4" s="142"/>
      <c r="P4" s="142"/>
      <c r="Q4" s="142"/>
      <c r="R4" s="142"/>
      <c r="S4" s="142"/>
      <c r="T4" s="142"/>
      <c r="U4" s="142"/>
      <c r="V4" s="142"/>
    </row>
    <row r="5" spans="1:22" ht="15" customHeight="1" x14ac:dyDescent="0.25">
      <c r="A5" s="14" t="s">
        <v>232</v>
      </c>
      <c r="B5" s="33"/>
      <c r="C5" s="72">
        <f>'💰 CAPEX &amp; MOF'!$B$17</f>
        <v>787.17379000000005</v>
      </c>
      <c r="D5" s="72">
        <f t="shared" ref="D5:L5" si="0">C5</f>
        <v>787.17379000000005</v>
      </c>
      <c r="E5" s="72">
        <f t="shared" si="0"/>
        <v>787.17379000000005</v>
      </c>
      <c r="F5" s="72">
        <f t="shared" si="0"/>
        <v>787.17379000000005</v>
      </c>
      <c r="G5" s="72">
        <f t="shared" si="0"/>
        <v>787.17379000000005</v>
      </c>
      <c r="H5" s="72">
        <f t="shared" si="0"/>
        <v>787.17379000000005</v>
      </c>
      <c r="I5" s="72">
        <f t="shared" si="0"/>
        <v>787.17379000000005</v>
      </c>
      <c r="J5" s="72">
        <f t="shared" si="0"/>
        <v>787.17379000000005</v>
      </c>
      <c r="K5" s="72">
        <f t="shared" si="0"/>
        <v>787.17379000000005</v>
      </c>
      <c r="L5" s="72">
        <f t="shared" si="0"/>
        <v>787.17379000000005</v>
      </c>
      <c r="M5" s="72">
        <f>L5+'📋 ASSUMPTIONS'!$B$19*'📋 ASSUMPTIONS'!$B$13</f>
        <v>899.67379000000005</v>
      </c>
      <c r="N5" s="72">
        <f t="shared" ref="N5:V5" si="1">M5</f>
        <v>899.67379000000005</v>
      </c>
      <c r="O5" s="72">
        <f t="shared" si="1"/>
        <v>899.67379000000005</v>
      </c>
      <c r="P5" s="72">
        <f t="shared" si="1"/>
        <v>899.67379000000005</v>
      </c>
      <c r="Q5" s="72">
        <f t="shared" si="1"/>
        <v>899.67379000000005</v>
      </c>
      <c r="R5" s="72">
        <f t="shared" si="1"/>
        <v>899.67379000000005</v>
      </c>
      <c r="S5" s="72">
        <f t="shared" si="1"/>
        <v>899.67379000000005</v>
      </c>
      <c r="T5" s="72">
        <f t="shared" si="1"/>
        <v>899.67379000000005</v>
      </c>
      <c r="U5" s="72">
        <f t="shared" si="1"/>
        <v>899.67379000000005</v>
      </c>
      <c r="V5" s="72">
        <f t="shared" si="1"/>
        <v>899.67379000000005</v>
      </c>
    </row>
    <row r="6" spans="1:22" ht="15" customHeight="1" x14ac:dyDescent="0.25">
      <c r="A6" s="42" t="s">
        <v>233</v>
      </c>
      <c r="B6" s="40"/>
      <c r="C6" s="73">
        <f>('💰 CAPEX &amp; MOF'!$B$17*(1-'📋 ASSUMPTIONS'!$B$61))/'📋 ASSUMPTIONS'!$B$60+IF(1&gt;'📋 ASSUMPTIONS'!$B$12,'📋 ASSUMPTIONS'!$B$19*'📋 ASSUMPTIONS'!$B$13/('📋 ASSUMPTIONS'!$B$60-'📋 ASSUMPTIONS'!$B$12),0)</f>
        <v>37.390755024999997</v>
      </c>
      <c r="D6" s="73">
        <f>('💰 CAPEX &amp; MOF'!$B$17*(1-'📋 ASSUMPTIONS'!$B$61))/'📋 ASSUMPTIONS'!$B$60+IF(2&gt;'📋 ASSUMPTIONS'!$B$12,'📋 ASSUMPTIONS'!$B$19*'📋 ASSUMPTIONS'!$B$13/('📋 ASSUMPTIONS'!$B$60-'📋 ASSUMPTIONS'!$B$12),0)</f>
        <v>37.390755024999997</v>
      </c>
      <c r="E6" s="73">
        <f>('💰 CAPEX &amp; MOF'!$B$17*(1-'📋 ASSUMPTIONS'!$B$61))/'📋 ASSUMPTIONS'!$B$60+IF(3&gt;'📋 ASSUMPTIONS'!$B$12,'📋 ASSUMPTIONS'!$B$19*'📋 ASSUMPTIONS'!$B$13/('📋 ASSUMPTIONS'!$B$60-'📋 ASSUMPTIONS'!$B$12),0)</f>
        <v>37.390755024999997</v>
      </c>
      <c r="F6" s="73">
        <f>('💰 CAPEX &amp; MOF'!$B$17*(1-'📋 ASSUMPTIONS'!$B$61))/'📋 ASSUMPTIONS'!$B$60+IF(4&gt;'📋 ASSUMPTIONS'!$B$12,'📋 ASSUMPTIONS'!$B$19*'📋 ASSUMPTIONS'!$B$13/('📋 ASSUMPTIONS'!$B$60-'📋 ASSUMPTIONS'!$B$12),0)</f>
        <v>37.390755024999997</v>
      </c>
      <c r="G6" s="73">
        <f>('💰 CAPEX &amp; MOF'!$B$17*(1-'📋 ASSUMPTIONS'!$B$61))/'📋 ASSUMPTIONS'!$B$60+IF(5&gt;'📋 ASSUMPTIONS'!$B$12,'📋 ASSUMPTIONS'!$B$19*'📋 ASSUMPTIONS'!$B$13/('📋 ASSUMPTIONS'!$B$60-'📋 ASSUMPTIONS'!$B$12),0)</f>
        <v>37.390755024999997</v>
      </c>
      <c r="H6" s="73">
        <f>('💰 CAPEX &amp; MOF'!$B$17*(1-'📋 ASSUMPTIONS'!$B$61))/'📋 ASSUMPTIONS'!$B$60+IF(6&gt;'📋 ASSUMPTIONS'!$B$12,'📋 ASSUMPTIONS'!$B$19*'📋 ASSUMPTIONS'!$B$13/('📋 ASSUMPTIONS'!$B$60-'📋 ASSUMPTIONS'!$B$12),0)</f>
        <v>37.390755024999997</v>
      </c>
      <c r="I6" s="73">
        <f>('💰 CAPEX &amp; MOF'!$B$17*(1-'📋 ASSUMPTIONS'!$B$61))/'📋 ASSUMPTIONS'!$B$60+IF(7&gt;'📋 ASSUMPTIONS'!$B$12,'📋 ASSUMPTIONS'!$B$19*'📋 ASSUMPTIONS'!$B$13/('📋 ASSUMPTIONS'!$B$60-'📋 ASSUMPTIONS'!$B$12),0)</f>
        <v>37.390755024999997</v>
      </c>
      <c r="J6" s="73">
        <f>('💰 CAPEX &amp; MOF'!$B$17*(1-'📋 ASSUMPTIONS'!$B$61))/'📋 ASSUMPTIONS'!$B$60+IF(8&gt;'📋 ASSUMPTIONS'!$B$12,'📋 ASSUMPTIONS'!$B$19*'📋 ASSUMPTIONS'!$B$13/('📋 ASSUMPTIONS'!$B$60-'📋 ASSUMPTIONS'!$B$12),0)</f>
        <v>37.390755024999997</v>
      </c>
      <c r="K6" s="73">
        <f>('💰 CAPEX &amp; MOF'!$B$17*(1-'📋 ASSUMPTIONS'!$B$61))/'📋 ASSUMPTIONS'!$B$60+IF(9&gt;'📋 ASSUMPTIONS'!$B$12,'📋 ASSUMPTIONS'!$B$19*'📋 ASSUMPTIONS'!$B$13/('📋 ASSUMPTIONS'!$B$60-'📋 ASSUMPTIONS'!$B$12),0)</f>
        <v>37.390755024999997</v>
      </c>
      <c r="L6" s="73">
        <f>('💰 CAPEX &amp; MOF'!$B$17*(1-'📋 ASSUMPTIONS'!$B$61))/'📋 ASSUMPTIONS'!$B$60+IF(10&gt;'📋 ASSUMPTIONS'!$B$12,'📋 ASSUMPTIONS'!$B$19*'📋 ASSUMPTIONS'!$B$13/('📋 ASSUMPTIONS'!$B$60-'📋 ASSUMPTIONS'!$B$12),0)</f>
        <v>37.390755024999997</v>
      </c>
      <c r="M6" s="73">
        <f>('💰 CAPEX &amp; MOF'!$B$17*(1-'📋 ASSUMPTIONS'!$B$61))/'📋 ASSUMPTIONS'!$B$60+IF(11&gt;'📋 ASSUMPTIONS'!$B$12,'📋 ASSUMPTIONS'!$B$19*'📋 ASSUMPTIONS'!$B$13/('📋 ASSUMPTIONS'!$B$60-'📋 ASSUMPTIONS'!$B$12),0)</f>
        <v>48.640755024999997</v>
      </c>
      <c r="N6" s="73">
        <f>('💰 CAPEX &amp; MOF'!$B$17*(1-'📋 ASSUMPTIONS'!$B$61))/'📋 ASSUMPTIONS'!$B$60+IF(12&gt;'📋 ASSUMPTIONS'!$B$12,'📋 ASSUMPTIONS'!$B$19*'📋 ASSUMPTIONS'!$B$13/('📋 ASSUMPTIONS'!$B$60-'📋 ASSUMPTIONS'!$B$12),0)</f>
        <v>48.640755024999997</v>
      </c>
      <c r="O6" s="73">
        <f>('💰 CAPEX &amp; MOF'!$B$17*(1-'📋 ASSUMPTIONS'!$B$61))/'📋 ASSUMPTIONS'!$B$60+IF(13&gt;'📋 ASSUMPTIONS'!$B$12,'📋 ASSUMPTIONS'!$B$19*'📋 ASSUMPTIONS'!$B$13/('📋 ASSUMPTIONS'!$B$60-'📋 ASSUMPTIONS'!$B$12),0)</f>
        <v>48.640755024999997</v>
      </c>
      <c r="P6" s="73">
        <f>('💰 CAPEX &amp; MOF'!$B$17*(1-'📋 ASSUMPTIONS'!$B$61))/'📋 ASSUMPTIONS'!$B$60+IF(14&gt;'📋 ASSUMPTIONS'!$B$12,'📋 ASSUMPTIONS'!$B$19*'📋 ASSUMPTIONS'!$B$13/('📋 ASSUMPTIONS'!$B$60-'📋 ASSUMPTIONS'!$B$12),0)</f>
        <v>48.640755024999997</v>
      </c>
      <c r="Q6" s="73">
        <f>('💰 CAPEX &amp; MOF'!$B$17*(1-'📋 ASSUMPTIONS'!$B$61))/'📋 ASSUMPTIONS'!$B$60+IF(15&gt;'📋 ASSUMPTIONS'!$B$12,'📋 ASSUMPTIONS'!$B$19*'📋 ASSUMPTIONS'!$B$13/('📋 ASSUMPTIONS'!$B$60-'📋 ASSUMPTIONS'!$B$12),0)</f>
        <v>48.640755024999997</v>
      </c>
      <c r="R6" s="73">
        <f>('💰 CAPEX &amp; MOF'!$B$17*(1-'📋 ASSUMPTIONS'!$B$61))/'📋 ASSUMPTIONS'!$B$60+IF(16&gt;'📋 ASSUMPTIONS'!$B$12,'📋 ASSUMPTIONS'!$B$19*'📋 ASSUMPTIONS'!$B$13/('📋 ASSUMPTIONS'!$B$60-'📋 ASSUMPTIONS'!$B$12),0)</f>
        <v>48.640755024999997</v>
      </c>
      <c r="S6" s="73">
        <f>('💰 CAPEX &amp; MOF'!$B$17*(1-'📋 ASSUMPTIONS'!$B$61))/'📋 ASSUMPTIONS'!$B$60+IF(17&gt;'📋 ASSUMPTIONS'!$B$12,'📋 ASSUMPTIONS'!$B$19*'📋 ASSUMPTIONS'!$B$13/('📋 ASSUMPTIONS'!$B$60-'📋 ASSUMPTIONS'!$B$12),0)</f>
        <v>48.640755024999997</v>
      </c>
      <c r="T6" s="73">
        <f>('💰 CAPEX &amp; MOF'!$B$17*(1-'📋 ASSUMPTIONS'!$B$61))/'📋 ASSUMPTIONS'!$B$60+IF(18&gt;'📋 ASSUMPTIONS'!$B$12,'📋 ASSUMPTIONS'!$B$19*'📋 ASSUMPTIONS'!$B$13/('📋 ASSUMPTIONS'!$B$60-'📋 ASSUMPTIONS'!$B$12),0)</f>
        <v>48.640755024999997</v>
      </c>
      <c r="U6" s="73">
        <f>('💰 CAPEX &amp; MOF'!$B$17*(1-'📋 ASSUMPTIONS'!$B$61))/'📋 ASSUMPTIONS'!$B$60+IF(19&gt;'📋 ASSUMPTIONS'!$B$12,'📋 ASSUMPTIONS'!$B$19*'📋 ASSUMPTIONS'!$B$13/('📋 ASSUMPTIONS'!$B$60-'📋 ASSUMPTIONS'!$B$12),0)</f>
        <v>48.640755024999997</v>
      </c>
      <c r="V6" s="73">
        <f>('💰 CAPEX &amp; MOF'!$B$17*(1-'📋 ASSUMPTIONS'!$B$61))/'📋 ASSUMPTIONS'!$B$60+IF(20&gt;'📋 ASSUMPTIONS'!$B$12,'📋 ASSUMPTIONS'!$B$19*'📋 ASSUMPTIONS'!$B$13/('📋 ASSUMPTIONS'!$B$60-'📋 ASSUMPTIONS'!$B$12),0)</f>
        <v>48.640755024999997</v>
      </c>
    </row>
    <row r="7" spans="1:22" ht="15" customHeight="1" x14ac:dyDescent="0.25">
      <c r="A7" s="74" t="s">
        <v>234</v>
      </c>
      <c r="B7" s="48"/>
      <c r="C7" s="75">
        <f>'💰 CAPEX &amp; MOF'!$B$17-C6</f>
        <v>749.78303497500008</v>
      </c>
      <c r="D7" s="75">
        <f t="shared" ref="D7:L7" si="2">C7-D6</f>
        <v>712.3922799500001</v>
      </c>
      <c r="E7" s="75">
        <f t="shared" si="2"/>
        <v>675.00152492500013</v>
      </c>
      <c r="F7" s="75">
        <f t="shared" si="2"/>
        <v>637.61076990000015</v>
      </c>
      <c r="G7" s="75">
        <f t="shared" si="2"/>
        <v>600.22001487500017</v>
      </c>
      <c r="H7" s="75">
        <f t="shared" si="2"/>
        <v>562.8292598500002</v>
      </c>
      <c r="I7" s="75">
        <f t="shared" si="2"/>
        <v>525.43850482500022</v>
      </c>
      <c r="J7" s="75">
        <f t="shared" si="2"/>
        <v>488.04774980000025</v>
      </c>
      <c r="K7" s="75">
        <f t="shared" si="2"/>
        <v>450.65699477500027</v>
      </c>
      <c r="L7" s="75">
        <f t="shared" si="2"/>
        <v>413.2662397500003</v>
      </c>
      <c r="M7" s="75">
        <f>L7-M6+'📋 ASSUMPTIONS'!$B$19*'📋 ASSUMPTIONS'!$B$13</f>
        <v>477.12548472500032</v>
      </c>
      <c r="N7" s="75">
        <f t="shared" ref="N7:V7" si="3">M7-N6</f>
        <v>428.48472970000034</v>
      </c>
      <c r="O7" s="75">
        <f t="shared" si="3"/>
        <v>379.84397467500037</v>
      </c>
      <c r="P7" s="75">
        <f t="shared" si="3"/>
        <v>331.20321965000039</v>
      </c>
      <c r="Q7" s="75">
        <f t="shared" si="3"/>
        <v>282.56246462500042</v>
      </c>
      <c r="R7" s="75">
        <f t="shared" si="3"/>
        <v>233.92170960000041</v>
      </c>
      <c r="S7" s="75">
        <f t="shared" si="3"/>
        <v>185.28095457500041</v>
      </c>
      <c r="T7" s="75">
        <f t="shared" si="3"/>
        <v>136.6401995500004</v>
      </c>
      <c r="U7" s="75">
        <f t="shared" si="3"/>
        <v>87.999444525000399</v>
      </c>
      <c r="V7" s="75">
        <f t="shared" si="3"/>
        <v>39.358689500000402</v>
      </c>
    </row>
    <row r="9" spans="1:22" ht="19.5" customHeight="1" x14ac:dyDescent="0.25">
      <c r="A9" s="143" t="s">
        <v>235</v>
      </c>
      <c r="B9" s="143"/>
      <c r="C9" s="143"/>
      <c r="D9" s="143"/>
      <c r="E9" s="143"/>
      <c r="F9" s="143"/>
      <c r="G9" s="143"/>
      <c r="H9" s="143"/>
      <c r="I9" s="143"/>
      <c r="J9" s="143"/>
      <c r="K9" s="143"/>
      <c r="L9" s="143"/>
      <c r="M9" s="143"/>
      <c r="N9" s="143"/>
      <c r="O9" s="143"/>
      <c r="P9" s="143"/>
      <c r="Q9" s="143"/>
      <c r="R9" s="143"/>
      <c r="S9" s="143"/>
      <c r="T9" s="143"/>
      <c r="U9" s="143"/>
      <c r="V9" s="143"/>
    </row>
    <row r="10" spans="1:22" ht="15" customHeight="1" x14ac:dyDescent="0.25">
      <c r="A10" s="14" t="s">
        <v>236</v>
      </c>
      <c r="B10" s="33"/>
      <c r="C10" s="72">
        <f>'💰 CAPEX &amp; MOF'!$B$17-IF(1='💰 CAPEX &amp; MOF'!$B$31,'💰 CAPEX &amp; MOF'!$B$30,0)</f>
        <v>522.54579000000012</v>
      </c>
      <c r="D10" s="72">
        <f>C12-IF(2='💰 CAPEX &amp; MOF'!$B$31,'💰 CAPEX &amp; MOF'!$B$30,0)</f>
        <v>444.16392150000013</v>
      </c>
      <c r="E10" s="72">
        <f>D12-IF(3='💰 CAPEX &amp; MOF'!$B$31,'💰 CAPEX &amp; MOF'!$B$30,0)</f>
        <v>377.5393332750001</v>
      </c>
      <c r="F10" s="72">
        <f>E12-IF(4='💰 CAPEX &amp; MOF'!$B$31,'💰 CAPEX &amp; MOF'!$B$30,0)</f>
        <v>320.90843328375007</v>
      </c>
      <c r="G10" s="72">
        <f>F12-IF(5='💰 CAPEX &amp; MOF'!$B$31,'💰 CAPEX &amp; MOF'!$B$30,0)</f>
        <v>272.77216829118754</v>
      </c>
      <c r="H10" s="72">
        <f>G12-IF(6='💰 CAPEX &amp; MOF'!$B$31,'💰 CAPEX &amp; MOF'!$B$30,0)</f>
        <v>231.85634304750943</v>
      </c>
      <c r="I10" s="72">
        <f>H12-IF(7='💰 CAPEX &amp; MOF'!$B$31,'💰 CAPEX &amp; MOF'!$B$30,0)</f>
        <v>197.07789159038302</v>
      </c>
      <c r="J10" s="72">
        <f>I12-IF(8='💰 CAPEX &amp; MOF'!$B$31,'💰 CAPEX &amp; MOF'!$B$30,0)</f>
        <v>167.51620785182556</v>
      </c>
      <c r="K10" s="72">
        <f>J12-IF(9='💰 CAPEX &amp; MOF'!$B$31,'💰 CAPEX &amp; MOF'!$B$30,0)</f>
        <v>142.38877667405171</v>
      </c>
      <c r="L10" s="72">
        <f>K12-IF(10='💰 CAPEX &amp; MOF'!$B$31,'💰 CAPEX &amp; MOF'!$B$30,0)</f>
        <v>121.03046017294396</v>
      </c>
      <c r="M10" s="72">
        <f>L12+'📋 ASSUMPTIONS'!$B$19*'📋 ASSUMPTIONS'!$B$13-IF(11='💰 CAPEX &amp; MOF'!$B$31,'💰 CAPEX &amp; MOF'!$B$30,0)</f>
        <v>215.37589114700236</v>
      </c>
      <c r="N10" s="72">
        <f>M12-IF(12='💰 CAPEX &amp; MOF'!$B$31,'💰 CAPEX &amp; MOF'!$B$30,0)</f>
        <v>183.06950747495202</v>
      </c>
      <c r="O10" s="72">
        <f>N12-IF(13='💰 CAPEX &amp; MOF'!$B$31,'💰 CAPEX &amp; MOF'!$B$30,0)</f>
        <v>155.60908135370923</v>
      </c>
      <c r="P10" s="72">
        <f>O12-IF(14='💰 CAPEX &amp; MOF'!$B$31,'💰 CAPEX &amp; MOF'!$B$30,0)</f>
        <v>132.26771915065285</v>
      </c>
      <c r="Q10" s="72">
        <f>P12-IF(15='💰 CAPEX &amp; MOF'!$B$31,'💰 CAPEX &amp; MOF'!$B$30,0)</f>
        <v>112.42756127805492</v>
      </c>
      <c r="R10" s="72">
        <f>Q12-IF(16='💰 CAPEX &amp; MOF'!$B$31,'💰 CAPEX &amp; MOF'!$B$30,0)</f>
        <v>95.563427086346678</v>
      </c>
      <c r="S10" s="72">
        <f>R12-IF(17='💰 CAPEX &amp; MOF'!$B$31,'💰 CAPEX &amp; MOF'!$B$30,0)</f>
        <v>81.228913023394682</v>
      </c>
      <c r="T10" s="72">
        <f>S12-IF(18='💰 CAPEX &amp; MOF'!$B$31,'💰 CAPEX &amp; MOF'!$B$30,0)</f>
        <v>69.04457606988548</v>
      </c>
      <c r="U10" s="72">
        <f>T12-IF(19='💰 CAPEX &amp; MOF'!$B$31,'💰 CAPEX &amp; MOF'!$B$30,0)</f>
        <v>58.687889659402657</v>
      </c>
      <c r="V10" s="72">
        <f>U12-IF(20='💰 CAPEX &amp; MOF'!$B$31,'💰 CAPEX &amp; MOF'!$B$30,0)</f>
        <v>49.884706210492261</v>
      </c>
    </row>
    <row r="11" spans="1:22" ht="15" customHeight="1" x14ac:dyDescent="0.25">
      <c r="A11" s="68" t="s">
        <v>237</v>
      </c>
      <c r="B11" s="20"/>
      <c r="C11" s="69">
        <f>C10*'📋 ASSUMPTIONS'!$B$59</f>
        <v>78.38186850000001</v>
      </c>
      <c r="D11" s="69">
        <f>D10*'📋 ASSUMPTIONS'!$B$59</f>
        <v>66.624588225000011</v>
      </c>
      <c r="E11" s="69">
        <f>E10*'📋 ASSUMPTIONS'!$B$59</f>
        <v>56.630899991250011</v>
      </c>
      <c r="F11" s="69">
        <f>F10*'📋 ASSUMPTIONS'!$B$59</f>
        <v>48.136264992562509</v>
      </c>
      <c r="G11" s="69">
        <f>G10*'📋 ASSUMPTIONS'!$B$59</f>
        <v>40.915825243678128</v>
      </c>
      <c r="H11" s="69">
        <f>H10*'📋 ASSUMPTIONS'!$B$59</f>
        <v>34.778451457126415</v>
      </c>
      <c r="I11" s="69">
        <f>I10*'📋 ASSUMPTIONS'!$B$59</f>
        <v>29.561683738557452</v>
      </c>
      <c r="J11" s="69">
        <f>J10*'📋 ASSUMPTIONS'!$B$59</f>
        <v>25.127431177773833</v>
      </c>
      <c r="K11" s="69">
        <f>K10*'📋 ASSUMPTIONS'!$B$59</f>
        <v>21.358316501107755</v>
      </c>
      <c r="L11" s="69">
        <f>L10*'📋 ASSUMPTIONS'!$B$59</f>
        <v>18.154569025941594</v>
      </c>
      <c r="M11" s="69">
        <f>M10*'📋 ASSUMPTIONS'!$B$59</f>
        <v>32.306383672050352</v>
      </c>
      <c r="N11" s="69">
        <f>N10*'📋 ASSUMPTIONS'!$B$59</f>
        <v>27.460426121242801</v>
      </c>
      <c r="O11" s="69">
        <f>O10*'📋 ASSUMPTIONS'!$B$59</f>
        <v>23.341362203056384</v>
      </c>
      <c r="P11" s="69">
        <f>P10*'📋 ASSUMPTIONS'!$B$59</f>
        <v>19.840157872597928</v>
      </c>
      <c r="Q11" s="69">
        <f>Q10*'📋 ASSUMPTIONS'!$B$59</f>
        <v>16.864134191708239</v>
      </c>
      <c r="R11" s="69">
        <f>R10*'📋 ASSUMPTIONS'!$B$59</f>
        <v>14.334514062952001</v>
      </c>
      <c r="S11" s="69">
        <f>S10*'📋 ASSUMPTIONS'!$B$59</f>
        <v>12.184336953509202</v>
      </c>
      <c r="T11" s="69">
        <f>T10*'📋 ASSUMPTIONS'!$B$59</f>
        <v>10.356686410482821</v>
      </c>
      <c r="U11" s="69">
        <f>U10*'📋 ASSUMPTIONS'!$B$59</f>
        <v>8.8031834489103975</v>
      </c>
      <c r="V11" s="69">
        <f>V10*'📋 ASSUMPTIONS'!$B$59</f>
        <v>7.4827059315738387</v>
      </c>
    </row>
    <row r="12" spans="1:22" ht="15" customHeight="1" x14ac:dyDescent="0.25">
      <c r="A12" s="18" t="s">
        <v>238</v>
      </c>
      <c r="B12" s="20"/>
      <c r="C12" s="76">
        <f t="shared" ref="C12:V12" si="4">C10-C11</f>
        <v>444.16392150000013</v>
      </c>
      <c r="D12" s="76">
        <f t="shared" si="4"/>
        <v>377.5393332750001</v>
      </c>
      <c r="E12" s="76">
        <f t="shared" si="4"/>
        <v>320.90843328375007</v>
      </c>
      <c r="F12" s="76">
        <f t="shared" si="4"/>
        <v>272.77216829118754</v>
      </c>
      <c r="G12" s="76">
        <f t="shared" si="4"/>
        <v>231.85634304750943</v>
      </c>
      <c r="H12" s="76">
        <f t="shared" si="4"/>
        <v>197.07789159038302</v>
      </c>
      <c r="I12" s="76">
        <f t="shared" si="4"/>
        <v>167.51620785182556</v>
      </c>
      <c r="J12" s="76">
        <f t="shared" si="4"/>
        <v>142.38877667405171</v>
      </c>
      <c r="K12" s="76">
        <f t="shared" si="4"/>
        <v>121.03046017294396</v>
      </c>
      <c r="L12" s="76">
        <f t="shared" si="4"/>
        <v>102.87589114700236</v>
      </c>
      <c r="M12" s="76">
        <f t="shared" si="4"/>
        <v>183.06950747495202</v>
      </c>
      <c r="N12" s="76">
        <f t="shared" si="4"/>
        <v>155.60908135370923</v>
      </c>
      <c r="O12" s="76">
        <f t="shared" si="4"/>
        <v>132.26771915065285</v>
      </c>
      <c r="P12" s="76">
        <f t="shared" si="4"/>
        <v>112.42756127805492</v>
      </c>
      <c r="Q12" s="76">
        <f t="shared" si="4"/>
        <v>95.563427086346678</v>
      </c>
      <c r="R12" s="76">
        <f t="shared" si="4"/>
        <v>81.228913023394682</v>
      </c>
      <c r="S12" s="76">
        <f t="shared" si="4"/>
        <v>69.04457606988548</v>
      </c>
      <c r="T12" s="76">
        <f t="shared" si="4"/>
        <v>58.687889659402657</v>
      </c>
      <c r="U12" s="76">
        <f t="shared" si="4"/>
        <v>49.884706210492261</v>
      </c>
      <c r="V12" s="76">
        <f t="shared" si="4"/>
        <v>42.402000278918422</v>
      </c>
    </row>
    <row r="14" spans="1:22" ht="15" customHeight="1" x14ac:dyDescent="0.25">
      <c r="A14" s="144" t="s">
        <v>239</v>
      </c>
      <c r="B14" s="144"/>
      <c r="C14" s="144"/>
      <c r="D14" s="144"/>
      <c r="E14" s="144"/>
      <c r="F14" s="144"/>
      <c r="G14" s="144"/>
      <c r="H14" s="144"/>
      <c r="I14" s="144"/>
      <c r="J14" s="144"/>
      <c r="K14" s="144"/>
      <c r="L14" s="144"/>
      <c r="M14" s="144"/>
      <c r="N14" s="144"/>
      <c r="O14" s="144"/>
      <c r="P14" s="144"/>
      <c r="Q14" s="144"/>
      <c r="R14" s="144"/>
      <c r="S14" s="144"/>
      <c r="T14" s="144"/>
      <c r="U14" s="144"/>
      <c r="V14" s="144"/>
    </row>
    <row r="16" spans="1:22" ht="19.5" customHeight="1" x14ac:dyDescent="0.25">
      <c r="A16" s="154" t="s">
        <v>240</v>
      </c>
      <c r="B16" s="154"/>
      <c r="C16" s="154"/>
      <c r="D16" s="154"/>
      <c r="E16" s="154"/>
      <c r="F16" s="154"/>
      <c r="G16" s="154"/>
      <c r="H16" s="154"/>
      <c r="I16" s="154"/>
      <c r="J16" s="154"/>
      <c r="K16" s="154"/>
      <c r="L16" s="154"/>
      <c r="M16" s="154"/>
      <c r="N16" s="154"/>
      <c r="O16" s="154"/>
      <c r="P16" s="154"/>
      <c r="Q16" s="154"/>
      <c r="R16" s="154"/>
      <c r="S16" s="154"/>
      <c r="T16" s="154"/>
      <c r="U16" s="154"/>
      <c r="V16" s="154"/>
    </row>
    <row r="17" spans="1:22" ht="15" customHeight="1" x14ac:dyDescent="0.25">
      <c r="A17" s="14" t="s">
        <v>241</v>
      </c>
      <c r="B17" s="33"/>
      <c r="C17" s="72">
        <f>B19+IF(1='💰 CAPEX &amp; MOF'!$B$31,'💰 CAPEX &amp; MOF'!$B$30,0)</f>
        <v>264.62799999999999</v>
      </c>
      <c r="D17" s="72">
        <f>C19+IF(2='💰 CAPEX &amp; MOF'!$B$31,'💰 CAPEX &amp; MOF'!$B$30,0)</f>
        <v>251.39659999999998</v>
      </c>
      <c r="E17" s="72">
        <f>D19+IF(3='💰 CAPEX &amp; MOF'!$B$31,'💰 CAPEX &amp; MOF'!$B$30,0)</f>
        <v>238.16519999999997</v>
      </c>
      <c r="F17" s="72">
        <f>E19+IF(4='💰 CAPEX &amp; MOF'!$B$31,'💰 CAPEX &amp; MOF'!$B$30,0)</f>
        <v>224.93379999999996</v>
      </c>
      <c r="G17" s="72">
        <f>F19+IF(5='💰 CAPEX &amp; MOF'!$B$31,'💰 CAPEX &amp; MOF'!$B$30,0)</f>
        <v>211.70239999999995</v>
      </c>
      <c r="H17" s="72">
        <f>G19+IF(6='💰 CAPEX &amp; MOF'!$B$31,'💰 CAPEX &amp; MOF'!$B$30,0)</f>
        <v>198.47099999999995</v>
      </c>
      <c r="I17" s="72">
        <f>H19+IF(7='💰 CAPEX &amp; MOF'!$B$31,'💰 CAPEX &amp; MOF'!$B$30,0)</f>
        <v>185.23959999999994</v>
      </c>
      <c r="J17" s="72">
        <f>I19+IF(8='💰 CAPEX &amp; MOF'!$B$31,'💰 CAPEX &amp; MOF'!$B$30,0)</f>
        <v>172.00819999999993</v>
      </c>
      <c r="K17" s="72">
        <f>J19+IF(9='💰 CAPEX &amp; MOF'!$B$31,'💰 CAPEX &amp; MOF'!$B$30,0)</f>
        <v>158.77679999999992</v>
      </c>
      <c r="L17" s="72">
        <f>K19+IF(10='💰 CAPEX &amp; MOF'!$B$31,'💰 CAPEX &amp; MOF'!$B$30,0)</f>
        <v>145.54539999999992</v>
      </c>
      <c r="M17" s="72">
        <f>L19+IF(11='💰 CAPEX &amp; MOF'!$B$31,'💰 CAPEX &amp; MOF'!$B$30,0)</f>
        <v>132.31399999999991</v>
      </c>
      <c r="N17" s="72">
        <f>M19+IF(12='💰 CAPEX &amp; MOF'!$B$31,'💰 CAPEX &amp; MOF'!$B$30,0)</f>
        <v>119.08259999999991</v>
      </c>
      <c r="O17" s="72">
        <f>N19+IF(13='💰 CAPEX &amp; MOF'!$B$31,'💰 CAPEX &amp; MOF'!$B$30,0)</f>
        <v>105.85119999999992</v>
      </c>
      <c r="P17" s="72">
        <f>O19+IF(14='💰 CAPEX &amp; MOF'!$B$31,'💰 CAPEX &amp; MOF'!$B$30,0)</f>
        <v>92.619799999999927</v>
      </c>
      <c r="Q17" s="72">
        <f>P19+IF(15='💰 CAPEX &amp; MOF'!$B$31,'💰 CAPEX &amp; MOF'!$B$30,0)</f>
        <v>79.388399999999933</v>
      </c>
      <c r="R17" s="72">
        <f>Q19+IF(16='💰 CAPEX &amp; MOF'!$B$31,'💰 CAPEX &amp; MOF'!$B$30,0)</f>
        <v>66.15699999999994</v>
      </c>
      <c r="S17" s="72">
        <f>R19+IF(17='💰 CAPEX &amp; MOF'!$B$31,'💰 CAPEX &amp; MOF'!$B$30,0)</f>
        <v>52.925599999999939</v>
      </c>
      <c r="T17" s="72">
        <f>S19+IF(18='💰 CAPEX &amp; MOF'!$B$31,'💰 CAPEX &amp; MOF'!$B$30,0)</f>
        <v>39.694199999999938</v>
      </c>
      <c r="U17" s="72">
        <f>T19+IF(19='💰 CAPEX &amp; MOF'!$B$31,'💰 CAPEX &amp; MOF'!$B$30,0)</f>
        <v>26.462799999999937</v>
      </c>
      <c r="V17" s="72">
        <f>U19+IF(20='💰 CAPEX &amp; MOF'!$B$31,'💰 CAPEX &amp; MOF'!$B$30,0)</f>
        <v>13.231399999999939</v>
      </c>
    </row>
    <row r="18" spans="1:22" ht="15" customHeight="1" x14ac:dyDescent="0.25">
      <c r="A18" s="42" t="s">
        <v>242</v>
      </c>
      <c r="B18" s="40"/>
      <c r="C18" s="73">
        <f>IF(1&gt;='💰 CAPEX &amp; MOF'!$B$31,'💰 CAPEX &amp; MOF'!$B$30/('📋 ASSUMPTIONS'!$B$60-'💰 CAPEX &amp; MOF'!$B$31+1),0)</f>
        <v>13.231399999999999</v>
      </c>
      <c r="D18" s="73">
        <f>IF(2&gt;='💰 CAPEX &amp; MOF'!$B$31,'💰 CAPEX &amp; MOF'!$B$30/('📋 ASSUMPTIONS'!$B$60-'💰 CAPEX &amp; MOF'!$B$31+1),0)</f>
        <v>13.231399999999999</v>
      </c>
      <c r="E18" s="73">
        <f>IF(3&gt;='💰 CAPEX &amp; MOF'!$B$31,'💰 CAPEX &amp; MOF'!$B$30/('📋 ASSUMPTIONS'!$B$60-'💰 CAPEX &amp; MOF'!$B$31+1),0)</f>
        <v>13.231399999999999</v>
      </c>
      <c r="F18" s="73">
        <f>IF(4&gt;='💰 CAPEX &amp; MOF'!$B$31,'💰 CAPEX &amp; MOF'!$B$30/('📋 ASSUMPTIONS'!$B$60-'💰 CAPEX &amp; MOF'!$B$31+1),0)</f>
        <v>13.231399999999999</v>
      </c>
      <c r="G18" s="73">
        <f>IF(5&gt;='💰 CAPEX &amp; MOF'!$B$31,'💰 CAPEX &amp; MOF'!$B$30/('📋 ASSUMPTIONS'!$B$60-'💰 CAPEX &amp; MOF'!$B$31+1),0)</f>
        <v>13.231399999999999</v>
      </c>
      <c r="H18" s="73">
        <f>IF(6&gt;='💰 CAPEX &amp; MOF'!$B$31,'💰 CAPEX &amp; MOF'!$B$30/('📋 ASSUMPTIONS'!$B$60-'💰 CAPEX &amp; MOF'!$B$31+1),0)</f>
        <v>13.231399999999999</v>
      </c>
      <c r="I18" s="73">
        <f>IF(7&gt;='💰 CAPEX &amp; MOF'!$B$31,'💰 CAPEX &amp; MOF'!$B$30/('📋 ASSUMPTIONS'!$B$60-'💰 CAPEX &amp; MOF'!$B$31+1),0)</f>
        <v>13.231399999999999</v>
      </c>
      <c r="J18" s="73">
        <f>IF(8&gt;='💰 CAPEX &amp; MOF'!$B$31,'💰 CAPEX &amp; MOF'!$B$30/('📋 ASSUMPTIONS'!$B$60-'💰 CAPEX &amp; MOF'!$B$31+1),0)</f>
        <v>13.231399999999999</v>
      </c>
      <c r="K18" s="73">
        <f>IF(9&gt;='💰 CAPEX &amp; MOF'!$B$31,'💰 CAPEX &amp; MOF'!$B$30/('📋 ASSUMPTIONS'!$B$60-'💰 CAPEX &amp; MOF'!$B$31+1),0)</f>
        <v>13.231399999999999</v>
      </c>
      <c r="L18" s="73">
        <f>IF(10&gt;='💰 CAPEX &amp; MOF'!$B$31,'💰 CAPEX &amp; MOF'!$B$30/('📋 ASSUMPTIONS'!$B$60-'💰 CAPEX &amp; MOF'!$B$31+1),0)</f>
        <v>13.231399999999999</v>
      </c>
      <c r="M18" s="73">
        <f>IF(11&gt;='💰 CAPEX &amp; MOF'!$B$31,'💰 CAPEX &amp; MOF'!$B$30/('📋 ASSUMPTIONS'!$B$60-'💰 CAPEX &amp; MOF'!$B$31+1),0)</f>
        <v>13.231399999999999</v>
      </c>
      <c r="N18" s="73">
        <f>IF(12&gt;='💰 CAPEX &amp; MOF'!$B$31,'💰 CAPEX &amp; MOF'!$B$30/('📋 ASSUMPTIONS'!$B$60-'💰 CAPEX &amp; MOF'!$B$31+1),0)</f>
        <v>13.231399999999999</v>
      </c>
      <c r="O18" s="73">
        <f>IF(13&gt;='💰 CAPEX &amp; MOF'!$B$31,'💰 CAPEX &amp; MOF'!$B$30/('📋 ASSUMPTIONS'!$B$60-'💰 CAPEX &amp; MOF'!$B$31+1),0)</f>
        <v>13.231399999999999</v>
      </c>
      <c r="P18" s="73">
        <f>IF(14&gt;='💰 CAPEX &amp; MOF'!$B$31,'💰 CAPEX &amp; MOF'!$B$30/('📋 ASSUMPTIONS'!$B$60-'💰 CAPEX &amp; MOF'!$B$31+1),0)</f>
        <v>13.231399999999999</v>
      </c>
      <c r="Q18" s="73">
        <f>IF(15&gt;='💰 CAPEX &amp; MOF'!$B$31,'💰 CAPEX &amp; MOF'!$B$30/('📋 ASSUMPTIONS'!$B$60-'💰 CAPEX &amp; MOF'!$B$31+1),0)</f>
        <v>13.231399999999999</v>
      </c>
      <c r="R18" s="73">
        <f>IF(16&gt;='💰 CAPEX &amp; MOF'!$B$31,'💰 CAPEX &amp; MOF'!$B$30/('📋 ASSUMPTIONS'!$B$60-'💰 CAPEX &amp; MOF'!$B$31+1),0)</f>
        <v>13.231399999999999</v>
      </c>
      <c r="S18" s="73">
        <f>IF(17&gt;='💰 CAPEX &amp; MOF'!$B$31,'💰 CAPEX &amp; MOF'!$B$30/('📋 ASSUMPTIONS'!$B$60-'💰 CAPEX &amp; MOF'!$B$31+1),0)</f>
        <v>13.231399999999999</v>
      </c>
      <c r="T18" s="73">
        <f>IF(18&gt;='💰 CAPEX &amp; MOF'!$B$31,'💰 CAPEX &amp; MOF'!$B$30/('📋 ASSUMPTIONS'!$B$60-'💰 CAPEX &amp; MOF'!$B$31+1),0)</f>
        <v>13.231399999999999</v>
      </c>
      <c r="U18" s="73">
        <f>IF(19&gt;='💰 CAPEX &amp; MOF'!$B$31,'💰 CAPEX &amp; MOF'!$B$30/('📋 ASSUMPTIONS'!$B$60-'💰 CAPEX &amp; MOF'!$B$31+1),0)</f>
        <v>13.231399999999999</v>
      </c>
      <c r="V18" s="73">
        <f>IF(20&gt;='💰 CAPEX &amp; MOF'!$B$31,'💰 CAPEX &amp; MOF'!$B$30/('📋 ASSUMPTIONS'!$B$60-'💰 CAPEX &amp; MOF'!$B$31+1),0)</f>
        <v>13.231399999999999</v>
      </c>
    </row>
    <row r="19" spans="1:22" ht="15" customHeight="1" x14ac:dyDescent="0.25">
      <c r="A19" s="74" t="s">
        <v>243</v>
      </c>
      <c r="B19" s="75">
        <v>0</v>
      </c>
      <c r="C19" s="75">
        <f t="shared" ref="C19:V19" si="5">C17-C18</f>
        <v>251.39659999999998</v>
      </c>
      <c r="D19" s="75">
        <f t="shared" si="5"/>
        <v>238.16519999999997</v>
      </c>
      <c r="E19" s="75">
        <f t="shared" si="5"/>
        <v>224.93379999999996</v>
      </c>
      <c r="F19" s="75">
        <f t="shared" si="5"/>
        <v>211.70239999999995</v>
      </c>
      <c r="G19" s="75">
        <f t="shared" si="5"/>
        <v>198.47099999999995</v>
      </c>
      <c r="H19" s="75">
        <f t="shared" si="5"/>
        <v>185.23959999999994</v>
      </c>
      <c r="I19" s="75">
        <f t="shared" si="5"/>
        <v>172.00819999999993</v>
      </c>
      <c r="J19" s="75">
        <f t="shared" si="5"/>
        <v>158.77679999999992</v>
      </c>
      <c r="K19" s="75">
        <f t="shared" si="5"/>
        <v>145.54539999999992</v>
      </c>
      <c r="L19" s="75">
        <f t="shared" si="5"/>
        <v>132.31399999999991</v>
      </c>
      <c r="M19" s="75">
        <f t="shared" si="5"/>
        <v>119.08259999999991</v>
      </c>
      <c r="N19" s="75">
        <f t="shared" si="5"/>
        <v>105.85119999999992</v>
      </c>
      <c r="O19" s="75">
        <f t="shared" si="5"/>
        <v>92.619799999999927</v>
      </c>
      <c r="P19" s="75">
        <f t="shared" si="5"/>
        <v>79.388399999999933</v>
      </c>
      <c r="Q19" s="75">
        <f t="shared" si="5"/>
        <v>66.15699999999994</v>
      </c>
      <c r="R19" s="75">
        <f t="shared" si="5"/>
        <v>52.925599999999939</v>
      </c>
      <c r="S19" s="75">
        <f t="shared" si="5"/>
        <v>39.694199999999938</v>
      </c>
      <c r="T19" s="75">
        <f t="shared" si="5"/>
        <v>26.462799999999937</v>
      </c>
      <c r="U19" s="75">
        <f t="shared" si="5"/>
        <v>13.231399999999939</v>
      </c>
      <c r="V19" s="75">
        <f t="shared" si="5"/>
        <v>-6.0396132539608516E-14</v>
      </c>
    </row>
    <row r="20" spans="1:22" ht="27.75" customHeight="1" x14ac:dyDescent="0.25">
      <c r="A20" s="144" t="s">
        <v>244</v>
      </c>
      <c r="B20" s="144"/>
      <c r="C20" s="144"/>
      <c r="D20" s="144"/>
      <c r="E20" s="144"/>
      <c r="F20" s="144"/>
      <c r="G20" s="144"/>
      <c r="H20" s="144"/>
      <c r="I20" s="144"/>
      <c r="J20" s="144"/>
      <c r="K20" s="144"/>
      <c r="L20" s="144"/>
      <c r="M20" s="144"/>
      <c r="N20" s="144"/>
      <c r="O20" s="144"/>
      <c r="P20" s="144"/>
      <c r="Q20" s="144"/>
      <c r="R20" s="144"/>
      <c r="S20" s="144"/>
      <c r="T20" s="144"/>
      <c r="U20" s="144"/>
      <c r="V20" s="144"/>
    </row>
  </sheetData>
  <mergeCells count="7">
    <mergeCell ref="A16:V16"/>
    <mergeCell ref="A20:V20"/>
    <mergeCell ref="A1:V1"/>
    <mergeCell ref="A2:V2"/>
    <mergeCell ref="A4:V4"/>
    <mergeCell ref="A9:V9"/>
    <mergeCell ref="A14:V14"/>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C3483"/>
  </sheetPr>
  <dimension ref="A1:V15"/>
  <sheetViews>
    <sheetView zoomScaleNormal="100" workbookViewId="0">
      <pane xSplit="2" ySplit="3" topLeftCell="C4" activePane="bottomRight" state="frozen"/>
      <selection pane="topRight" activeCell="C1" sqref="C1"/>
      <selection pane="bottomLeft" activeCell="A4" sqref="A4"/>
      <selection pane="bottomRight" sqref="A1:V1"/>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140" t="s">
        <v>245</v>
      </c>
      <c r="B1" s="140"/>
      <c r="C1" s="140"/>
      <c r="D1" s="140"/>
      <c r="E1" s="140"/>
      <c r="F1" s="140"/>
      <c r="G1" s="140"/>
      <c r="H1" s="140"/>
      <c r="I1" s="140"/>
      <c r="J1" s="140"/>
      <c r="K1" s="140"/>
      <c r="L1" s="140"/>
      <c r="M1" s="140"/>
      <c r="N1" s="140"/>
      <c r="O1" s="140"/>
      <c r="P1" s="140"/>
      <c r="Q1" s="140"/>
      <c r="R1" s="140"/>
      <c r="S1" s="140"/>
      <c r="T1" s="140"/>
      <c r="U1" s="140"/>
      <c r="V1" s="140"/>
    </row>
    <row r="2" spans="1:22" ht="15" customHeight="1" x14ac:dyDescent="0.25">
      <c r="A2" s="141" t="s">
        <v>246</v>
      </c>
      <c r="B2" s="141"/>
      <c r="C2" s="141"/>
      <c r="D2" s="141"/>
      <c r="E2" s="141"/>
      <c r="F2" s="141"/>
      <c r="G2" s="141"/>
      <c r="H2" s="141"/>
      <c r="I2" s="141"/>
      <c r="J2" s="141"/>
      <c r="K2" s="141"/>
      <c r="L2" s="141"/>
      <c r="M2" s="141"/>
      <c r="N2" s="141"/>
      <c r="O2" s="141"/>
      <c r="P2" s="141"/>
      <c r="Q2" s="141"/>
      <c r="R2" s="141"/>
      <c r="S2" s="141"/>
      <c r="T2" s="141"/>
      <c r="U2" s="141"/>
      <c r="V2" s="141"/>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5" customHeight="1" x14ac:dyDescent="0.25">
      <c r="A4" s="14" t="s">
        <v>213</v>
      </c>
      <c r="B4" s="77" t="s">
        <v>247</v>
      </c>
      <c r="C4" s="59">
        <v>1</v>
      </c>
      <c r="D4" s="59">
        <v>2</v>
      </c>
      <c r="E4" s="59">
        <v>3</v>
      </c>
      <c r="F4" s="59">
        <v>4</v>
      </c>
      <c r="G4" s="59">
        <v>5</v>
      </c>
      <c r="H4" s="59">
        <v>6</v>
      </c>
      <c r="I4" s="59">
        <v>7</v>
      </c>
      <c r="J4" s="59">
        <v>8</v>
      </c>
      <c r="K4" s="59">
        <v>9</v>
      </c>
      <c r="L4" s="59">
        <v>10</v>
      </c>
      <c r="M4" s="59">
        <v>11</v>
      </c>
      <c r="N4" s="59">
        <v>12</v>
      </c>
      <c r="O4" s="59">
        <v>13</v>
      </c>
      <c r="P4" s="59">
        <v>14</v>
      </c>
      <c r="Q4" s="59">
        <v>15</v>
      </c>
      <c r="R4" s="59">
        <v>16</v>
      </c>
      <c r="S4" s="59">
        <v>17</v>
      </c>
      <c r="T4" s="59">
        <v>18</v>
      </c>
      <c r="U4" s="59">
        <v>19</v>
      </c>
      <c r="V4" s="59">
        <v>20</v>
      </c>
    </row>
    <row r="5" spans="1:22" ht="15" customHeight="1" x14ac:dyDescent="0.25">
      <c r="A5" s="42" t="s">
        <v>248</v>
      </c>
      <c r="B5" s="73">
        <f>'💰 CAPEX &amp; MOF'!$B$23</f>
        <v>551.02165300000001</v>
      </c>
      <c r="C5" s="72">
        <v>0</v>
      </c>
      <c r="D5" s="72">
        <v>0</v>
      </c>
      <c r="E5" s="72">
        <v>0</v>
      </c>
      <c r="F5" s="72">
        <v>0</v>
      </c>
      <c r="G5" s="72">
        <v>0</v>
      </c>
      <c r="H5" s="72">
        <v>0</v>
      </c>
      <c r="I5" s="72">
        <v>0</v>
      </c>
      <c r="J5" s="72">
        <v>0</v>
      </c>
      <c r="K5" s="72">
        <v>0</v>
      </c>
      <c r="L5" s="72">
        <v>0</v>
      </c>
      <c r="M5" s="72">
        <v>0</v>
      </c>
      <c r="N5" s="72">
        <v>0</v>
      </c>
      <c r="O5" s="72">
        <v>0</v>
      </c>
      <c r="P5" s="72">
        <v>0</v>
      </c>
      <c r="Q5" s="72">
        <v>0</v>
      </c>
      <c r="R5" s="72">
        <v>0</v>
      </c>
      <c r="S5" s="72">
        <v>0</v>
      </c>
      <c r="T5" s="72">
        <v>0</v>
      </c>
      <c r="U5" s="72">
        <v>0</v>
      </c>
      <c r="V5" s="72">
        <v>0</v>
      </c>
    </row>
    <row r="6" spans="1:22" ht="15" customHeight="1" x14ac:dyDescent="0.25">
      <c r="A6" s="14" t="s">
        <v>249</v>
      </c>
      <c r="B6" s="72">
        <v>0</v>
      </c>
      <c r="C6" s="72">
        <f t="shared" ref="C6:V6" si="0">B10</f>
        <v>551.02165300000001</v>
      </c>
      <c r="D6" s="72">
        <f t="shared" si="0"/>
        <v>286.39365300000003</v>
      </c>
      <c r="E6" s="72">
        <f t="shared" si="0"/>
        <v>236.30077545454549</v>
      </c>
      <c r="F6" s="72">
        <f t="shared" si="0"/>
        <v>186.20789790909095</v>
      </c>
      <c r="G6" s="72">
        <f t="shared" si="0"/>
        <v>136.1150203636364</v>
      </c>
      <c r="H6" s="72">
        <f t="shared" si="0"/>
        <v>86.022142818181862</v>
      </c>
      <c r="I6" s="72">
        <f t="shared" si="0"/>
        <v>35.929265272727314</v>
      </c>
      <c r="J6" s="72">
        <f t="shared" si="0"/>
        <v>0</v>
      </c>
      <c r="K6" s="72">
        <f t="shared" si="0"/>
        <v>0</v>
      </c>
      <c r="L6" s="72">
        <f t="shared" si="0"/>
        <v>0</v>
      </c>
      <c r="M6" s="72">
        <f t="shared" si="0"/>
        <v>0</v>
      </c>
      <c r="N6" s="72">
        <f t="shared" si="0"/>
        <v>0</v>
      </c>
      <c r="O6" s="72">
        <f t="shared" si="0"/>
        <v>0</v>
      </c>
      <c r="P6" s="72">
        <f t="shared" si="0"/>
        <v>0</v>
      </c>
      <c r="Q6" s="72">
        <f t="shared" si="0"/>
        <v>0</v>
      </c>
      <c r="R6" s="72">
        <f t="shared" si="0"/>
        <v>0</v>
      </c>
      <c r="S6" s="72">
        <f t="shared" si="0"/>
        <v>0</v>
      </c>
      <c r="T6" s="72">
        <f t="shared" si="0"/>
        <v>0</v>
      </c>
      <c r="U6" s="72">
        <f t="shared" si="0"/>
        <v>0</v>
      </c>
      <c r="V6" s="72">
        <f t="shared" si="0"/>
        <v>0</v>
      </c>
    </row>
    <row r="7" spans="1:22" ht="15" customHeight="1" x14ac:dyDescent="0.25">
      <c r="A7" s="68" t="s">
        <v>250</v>
      </c>
      <c r="B7" s="20"/>
      <c r="C7" s="69">
        <f>C6*'📋 ASSUMPTIONS'!$B$34</f>
        <v>59.234827697500002</v>
      </c>
      <c r="D7" s="69">
        <f>D6*'📋 ASSUMPTIONS'!$B$34</f>
        <v>30.787317697500004</v>
      </c>
      <c r="E7" s="69">
        <f>E6*'📋 ASSUMPTIONS'!$B$34</f>
        <v>25.402333361363638</v>
      </c>
      <c r="F7" s="69">
        <f>F6*'📋 ASSUMPTIONS'!$B$34</f>
        <v>20.017349025227276</v>
      </c>
      <c r="G7" s="69">
        <f>G6*'📋 ASSUMPTIONS'!$B$34</f>
        <v>14.632364689090913</v>
      </c>
      <c r="H7" s="69">
        <f>H6*'📋 ASSUMPTIONS'!$B$34</f>
        <v>9.2473803529545506</v>
      </c>
      <c r="I7" s="69">
        <f>I6*'📋 ASSUMPTIONS'!$B$34</f>
        <v>3.8623960168181863</v>
      </c>
      <c r="J7" s="69">
        <f>J6*'📋 ASSUMPTIONS'!$B$34</f>
        <v>0</v>
      </c>
      <c r="K7" s="69">
        <f>K6*'📋 ASSUMPTIONS'!$B$34</f>
        <v>0</v>
      </c>
      <c r="L7" s="69">
        <f>L6*'📋 ASSUMPTIONS'!$B$34</f>
        <v>0</v>
      </c>
      <c r="M7" s="69">
        <f>M6*'📋 ASSUMPTIONS'!$B$34</f>
        <v>0</v>
      </c>
      <c r="N7" s="69">
        <f>N6*'📋 ASSUMPTIONS'!$B$34</f>
        <v>0</v>
      </c>
      <c r="O7" s="69">
        <f>O6*'📋 ASSUMPTIONS'!$B$34</f>
        <v>0</v>
      </c>
      <c r="P7" s="69">
        <f>P6*'📋 ASSUMPTIONS'!$B$34</f>
        <v>0</v>
      </c>
      <c r="Q7" s="69">
        <f>Q6*'📋 ASSUMPTIONS'!$B$34</f>
        <v>0</v>
      </c>
      <c r="R7" s="69">
        <f>R6*'📋 ASSUMPTIONS'!$B$34</f>
        <v>0</v>
      </c>
      <c r="S7" s="69">
        <f>S6*'📋 ASSUMPTIONS'!$B$34</f>
        <v>0</v>
      </c>
      <c r="T7" s="69">
        <f>T6*'📋 ASSUMPTIONS'!$B$34</f>
        <v>0</v>
      </c>
      <c r="U7" s="69">
        <f>U6*'📋 ASSUMPTIONS'!$B$34</f>
        <v>0</v>
      </c>
      <c r="V7" s="69">
        <f>V6*'📋 ASSUMPTIONS'!$B$34</f>
        <v>0</v>
      </c>
    </row>
    <row r="8" spans="1:22" ht="15" customHeight="1" x14ac:dyDescent="0.25">
      <c r="A8" s="68" t="s">
        <v>251</v>
      </c>
      <c r="B8" s="20"/>
      <c r="C8" s="69">
        <f>IF(C4&lt;='📋 ASSUMPTIONS'!$B$35,0,IF(C4&lt;='📋 ASSUMPTIONS'!$B$35+'📋 ASSUMPTIONS'!$B$36,MIN(C6,B5/'📋 ASSUMPTIONS'!$B$36),0))</f>
        <v>0</v>
      </c>
      <c r="D8" s="69">
        <f>IF(D4&lt;='📋 ASSUMPTIONS'!$B$35,0,IF(D4&lt;='📋 ASSUMPTIONS'!$B$35+'📋 ASSUMPTIONS'!$B$36,MIN(D6,B5/'📋 ASSUMPTIONS'!$B$36),0))</f>
        <v>50.092877545454549</v>
      </c>
      <c r="E8" s="69">
        <f>IF(E4&lt;='📋 ASSUMPTIONS'!$B$35,0,IF(E4&lt;='📋 ASSUMPTIONS'!$B$35+'📋 ASSUMPTIONS'!$B$36,MIN(E6,B5/'📋 ASSUMPTIONS'!$B$36),0))</f>
        <v>50.092877545454549</v>
      </c>
      <c r="F8" s="69">
        <f>IF(F4&lt;='📋 ASSUMPTIONS'!$B$35,0,IF(F4&lt;='📋 ASSUMPTIONS'!$B$35+'📋 ASSUMPTIONS'!$B$36,MIN(F6,B5/'📋 ASSUMPTIONS'!$B$36),0))</f>
        <v>50.092877545454549</v>
      </c>
      <c r="G8" s="69">
        <f>IF(G4&lt;='📋 ASSUMPTIONS'!$B$35,0,IF(G4&lt;='📋 ASSUMPTIONS'!$B$35+'📋 ASSUMPTIONS'!$B$36,MIN(G6,B5/'📋 ASSUMPTIONS'!$B$36),0))</f>
        <v>50.092877545454549</v>
      </c>
      <c r="H8" s="69">
        <f>IF(H4&lt;='📋 ASSUMPTIONS'!$B$35,0,IF(H4&lt;='📋 ASSUMPTIONS'!$B$35+'📋 ASSUMPTIONS'!$B$36,MIN(H6,B5/'📋 ASSUMPTIONS'!$B$36),0))</f>
        <v>50.092877545454549</v>
      </c>
      <c r="I8" s="69">
        <f>IF(I4&lt;='📋 ASSUMPTIONS'!$B$35,0,IF(I4&lt;='📋 ASSUMPTIONS'!$B$35+'📋 ASSUMPTIONS'!$B$36,MIN(I6,B5/'📋 ASSUMPTIONS'!$B$36),0))</f>
        <v>35.929265272727314</v>
      </c>
      <c r="J8" s="69">
        <f>IF(J4&lt;='📋 ASSUMPTIONS'!$B$35,0,IF(J4&lt;='📋 ASSUMPTIONS'!$B$35+'📋 ASSUMPTIONS'!$B$36,MIN(J6,B5/'📋 ASSUMPTIONS'!$B$36),0))</f>
        <v>0</v>
      </c>
      <c r="K8" s="69">
        <f>IF(K4&lt;='📋 ASSUMPTIONS'!$B$35,0,IF(K4&lt;='📋 ASSUMPTIONS'!$B$35+'📋 ASSUMPTIONS'!$B$36,MIN(K6,B5/'📋 ASSUMPTIONS'!$B$36),0))</f>
        <v>0</v>
      </c>
      <c r="L8" s="69">
        <f>IF(L4&lt;='📋 ASSUMPTIONS'!$B$35,0,IF(L4&lt;='📋 ASSUMPTIONS'!$B$35+'📋 ASSUMPTIONS'!$B$36,MIN(L6,B5/'📋 ASSUMPTIONS'!$B$36),0))</f>
        <v>0</v>
      </c>
      <c r="M8" s="69">
        <f>IF(M4&lt;='📋 ASSUMPTIONS'!$B$35,0,IF(M4&lt;='📋 ASSUMPTIONS'!$B$35+'📋 ASSUMPTIONS'!$B$36,MIN(M6,B5/'📋 ASSUMPTIONS'!$B$36),0))</f>
        <v>0</v>
      </c>
      <c r="N8" s="69">
        <f>IF(N4&lt;='📋 ASSUMPTIONS'!$B$35,0,IF(N4&lt;='📋 ASSUMPTIONS'!$B$35+'📋 ASSUMPTIONS'!$B$36,MIN(N6,B5/'📋 ASSUMPTIONS'!$B$36),0))</f>
        <v>0</v>
      </c>
      <c r="O8" s="69">
        <f>IF(O4&lt;='📋 ASSUMPTIONS'!$B$35,0,IF(O4&lt;='📋 ASSUMPTIONS'!$B$35+'📋 ASSUMPTIONS'!$B$36,MIN(O6,B5/'📋 ASSUMPTIONS'!$B$36),0))</f>
        <v>0</v>
      </c>
      <c r="P8" s="69">
        <f>IF(P4&lt;='📋 ASSUMPTIONS'!$B$35,0,IF(P4&lt;='📋 ASSUMPTIONS'!$B$35+'📋 ASSUMPTIONS'!$B$36,MIN(P6,B5/'📋 ASSUMPTIONS'!$B$36),0))</f>
        <v>0</v>
      </c>
      <c r="Q8" s="69">
        <f>IF(Q4&lt;='📋 ASSUMPTIONS'!$B$35,0,IF(Q4&lt;='📋 ASSUMPTIONS'!$B$35+'📋 ASSUMPTIONS'!$B$36,MIN(Q6,B5/'📋 ASSUMPTIONS'!$B$36),0))</f>
        <v>0</v>
      </c>
      <c r="R8" s="69">
        <f>IF(R4&lt;='📋 ASSUMPTIONS'!$B$35,0,IF(R4&lt;='📋 ASSUMPTIONS'!$B$35+'📋 ASSUMPTIONS'!$B$36,MIN(R6,B5/'📋 ASSUMPTIONS'!$B$36),0))</f>
        <v>0</v>
      </c>
      <c r="S8" s="69">
        <f>IF(S4&lt;='📋 ASSUMPTIONS'!$B$35,0,IF(S4&lt;='📋 ASSUMPTIONS'!$B$35+'📋 ASSUMPTIONS'!$B$36,MIN(S6,B5/'📋 ASSUMPTIONS'!$B$36),0))</f>
        <v>0</v>
      </c>
      <c r="T8" s="69">
        <f>IF(T4&lt;='📋 ASSUMPTIONS'!$B$35,0,IF(T4&lt;='📋 ASSUMPTIONS'!$B$35+'📋 ASSUMPTIONS'!$B$36,MIN(T6,B5/'📋 ASSUMPTIONS'!$B$36),0))</f>
        <v>0</v>
      </c>
      <c r="U8" s="69">
        <f>IF(U4&lt;='📋 ASSUMPTIONS'!$B$35,0,IF(U4&lt;='📋 ASSUMPTIONS'!$B$35+'📋 ASSUMPTIONS'!$B$36,MIN(U6,B5/'📋 ASSUMPTIONS'!$B$36),0))</f>
        <v>0</v>
      </c>
      <c r="V8" s="69">
        <f>IF(V4&lt;='📋 ASSUMPTIONS'!$B$35,0,IF(V4&lt;='📋 ASSUMPTIONS'!$B$35+'📋 ASSUMPTIONS'!$B$36,MIN(V6,B5/'📋 ASSUMPTIONS'!$B$36),0))</f>
        <v>0</v>
      </c>
    </row>
    <row r="9" spans="1:22" ht="15" customHeight="1" x14ac:dyDescent="0.25">
      <c r="A9" s="78" t="s">
        <v>252</v>
      </c>
      <c r="B9" s="53"/>
      <c r="C9" s="79">
        <f t="shared" ref="C9:V9" si="1">C7+C8</f>
        <v>59.234827697500002</v>
      </c>
      <c r="D9" s="79">
        <f t="shared" si="1"/>
        <v>80.880195242954557</v>
      </c>
      <c r="E9" s="79">
        <f t="shared" si="1"/>
        <v>75.495210906818187</v>
      </c>
      <c r="F9" s="79">
        <f t="shared" si="1"/>
        <v>70.110226570681817</v>
      </c>
      <c r="G9" s="79">
        <f t="shared" si="1"/>
        <v>64.725242234545462</v>
      </c>
      <c r="H9" s="79">
        <f t="shared" si="1"/>
        <v>59.340257898409099</v>
      </c>
      <c r="I9" s="79">
        <f t="shared" si="1"/>
        <v>39.791661289545502</v>
      </c>
      <c r="J9" s="79">
        <f t="shared" si="1"/>
        <v>0</v>
      </c>
      <c r="K9" s="79">
        <f t="shared" si="1"/>
        <v>0</v>
      </c>
      <c r="L9" s="79">
        <f t="shared" si="1"/>
        <v>0</v>
      </c>
      <c r="M9" s="79">
        <f t="shared" si="1"/>
        <v>0</v>
      </c>
      <c r="N9" s="79">
        <f t="shared" si="1"/>
        <v>0</v>
      </c>
      <c r="O9" s="79">
        <f t="shared" si="1"/>
        <v>0</v>
      </c>
      <c r="P9" s="79">
        <f t="shared" si="1"/>
        <v>0</v>
      </c>
      <c r="Q9" s="79">
        <f t="shared" si="1"/>
        <v>0</v>
      </c>
      <c r="R9" s="79">
        <f t="shared" si="1"/>
        <v>0</v>
      </c>
      <c r="S9" s="79">
        <f t="shared" si="1"/>
        <v>0</v>
      </c>
      <c r="T9" s="79">
        <f t="shared" si="1"/>
        <v>0</v>
      </c>
      <c r="U9" s="79">
        <f t="shared" si="1"/>
        <v>0</v>
      </c>
      <c r="V9" s="79">
        <f t="shared" si="1"/>
        <v>0</v>
      </c>
    </row>
    <row r="10" spans="1:22" ht="15" customHeight="1" x14ac:dyDescent="0.25">
      <c r="A10" s="74" t="s">
        <v>253</v>
      </c>
      <c r="B10" s="75">
        <f>B6+B5</f>
        <v>551.02165300000001</v>
      </c>
      <c r="C10" s="75">
        <f t="shared" ref="C10:V10" si="2">C6-C8-C11</f>
        <v>286.39365300000003</v>
      </c>
      <c r="D10" s="75">
        <f t="shared" si="2"/>
        <v>236.30077545454549</v>
      </c>
      <c r="E10" s="75">
        <f t="shared" si="2"/>
        <v>186.20789790909095</v>
      </c>
      <c r="F10" s="75">
        <f t="shared" si="2"/>
        <v>136.1150203636364</v>
      </c>
      <c r="G10" s="75">
        <f t="shared" si="2"/>
        <v>86.022142818181862</v>
      </c>
      <c r="H10" s="75">
        <f t="shared" si="2"/>
        <v>35.929265272727314</v>
      </c>
      <c r="I10" s="75">
        <f t="shared" si="2"/>
        <v>0</v>
      </c>
      <c r="J10" s="75">
        <f t="shared" si="2"/>
        <v>0</v>
      </c>
      <c r="K10" s="75">
        <f t="shared" si="2"/>
        <v>0</v>
      </c>
      <c r="L10" s="75">
        <f t="shared" si="2"/>
        <v>0</v>
      </c>
      <c r="M10" s="75">
        <f t="shared" si="2"/>
        <v>0</v>
      </c>
      <c r="N10" s="75">
        <f t="shared" si="2"/>
        <v>0</v>
      </c>
      <c r="O10" s="75">
        <f t="shared" si="2"/>
        <v>0</v>
      </c>
      <c r="P10" s="75">
        <f t="shared" si="2"/>
        <v>0</v>
      </c>
      <c r="Q10" s="75">
        <f t="shared" si="2"/>
        <v>0</v>
      </c>
      <c r="R10" s="75">
        <f t="shared" si="2"/>
        <v>0</v>
      </c>
      <c r="S10" s="75">
        <f t="shared" si="2"/>
        <v>0</v>
      </c>
      <c r="T10" s="75">
        <f t="shared" si="2"/>
        <v>0</v>
      </c>
      <c r="U10" s="75">
        <f t="shared" si="2"/>
        <v>0</v>
      </c>
      <c r="V10" s="75">
        <f t="shared" si="2"/>
        <v>0</v>
      </c>
    </row>
    <row r="11" spans="1:22" ht="21.75" customHeight="1" x14ac:dyDescent="0.25">
      <c r="A11" s="45" t="s">
        <v>254</v>
      </c>
      <c r="B11" s="48"/>
      <c r="C11" s="80">
        <f>IF(1='💰 CAPEX &amp; MOF'!$B$31,MIN(MAX(0,C6-C8),'💰 CAPEX &amp; MOF'!$B$30),0)</f>
        <v>264.62799999999999</v>
      </c>
      <c r="D11" s="80">
        <f>IF(2='💰 CAPEX &amp; MOF'!$B$31,MIN(MAX(0,D6-D8),'💰 CAPEX &amp; MOF'!$B$30),0)</f>
        <v>0</v>
      </c>
      <c r="E11" s="80">
        <f>IF(3='💰 CAPEX &amp; MOF'!$B$31,MIN(MAX(0,E6-E8),'💰 CAPEX &amp; MOF'!$B$30),0)</f>
        <v>0</v>
      </c>
      <c r="F11" s="80">
        <f>IF(4='💰 CAPEX &amp; MOF'!$B$31,MIN(MAX(0,F6-F8),'💰 CAPEX &amp; MOF'!$B$30),0)</f>
        <v>0</v>
      </c>
      <c r="G11" s="80">
        <f>IF(5='💰 CAPEX &amp; MOF'!$B$31,MIN(MAX(0,G6-G8),'💰 CAPEX &amp; MOF'!$B$30),0)</f>
        <v>0</v>
      </c>
      <c r="H11" s="80">
        <f>IF(6='💰 CAPEX &amp; MOF'!$B$31,MIN(MAX(0,H6-H8),'💰 CAPEX &amp; MOF'!$B$30),0)</f>
        <v>0</v>
      </c>
      <c r="I11" s="80">
        <f>IF(7='💰 CAPEX &amp; MOF'!$B$31,MIN(MAX(0,I6-I8),'💰 CAPEX &amp; MOF'!$B$30),0)</f>
        <v>0</v>
      </c>
      <c r="J11" s="80">
        <f>IF(8='💰 CAPEX &amp; MOF'!$B$31,MIN(MAX(0,J6-J8),'💰 CAPEX &amp; MOF'!$B$30),0)</f>
        <v>0</v>
      </c>
      <c r="K11" s="80">
        <f>IF(9='💰 CAPEX &amp; MOF'!$B$31,MIN(MAX(0,K6-K8),'💰 CAPEX &amp; MOF'!$B$30),0)</f>
        <v>0</v>
      </c>
      <c r="L11" s="80">
        <f>IF(10='💰 CAPEX &amp; MOF'!$B$31,MIN(MAX(0,L6-L8),'💰 CAPEX &amp; MOF'!$B$30),0)</f>
        <v>0</v>
      </c>
      <c r="M11" s="80">
        <f>IF(11='💰 CAPEX &amp; MOF'!$B$31,MIN(MAX(0,M6-M8),'💰 CAPEX &amp; MOF'!$B$30),0)</f>
        <v>0</v>
      </c>
      <c r="N11" s="80">
        <f>IF(12='💰 CAPEX &amp; MOF'!$B$31,MIN(MAX(0,N6-N8),'💰 CAPEX &amp; MOF'!$B$30),0)</f>
        <v>0</v>
      </c>
      <c r="O11" s="80">
        <f>IF(13='💰 CAPEX &amp; MOF'!$B$31,MIN(MAX(0,O6-O8),'💰 CAPEX &amp; MOF'!$B$30),0)</f>
        <v>0</v>
      </c>
      <c r="P11" s="80">
        <f>IF(14='💰 CAPEX &amp; MOF'!$B$31,MIN(MAX(0,P6-P8),'💰 CAPEX &amp; MOF'!$B$30),0)</f>
        <v>0</v>
      </c>
      <c r="Q11" s="80">
        <f>IF(15='💰 CAPEX &amp; MOF'!$B$31,MIN(MAX(0,Q6-Q8),'💰 CAPEX &amp; MOF'!$B$30),0)</f>
        <v>0</v>
      </c>
      <c r="R11" s="80">
        <f>IF(16='💰 CAPEX &amp; MOF'!$B$31,MIN(MAX(0,R6-R8),'💰 CAPEX &amp; MOF'!$B$30),0)</f>
        <v>0</v>
      </c>
      <c r="S11" s="80">
        <f>IF(17='💰 CAPEX &amp; MOF'!$B$31,MIN(MAX(0,S6-S8),'💰 CAPEX &amp; MOF'!$B$30),0)</f>
        <v>0</v>
      </c>
      <c r="T11" s="80">
        <f>IF(18='💰 CAPEX &amp; MOF'!$B$31,MIN(MAX(0,T6-T8),'💰 CAPEX &amp; MOF'!$B$30),0)</f>
        <v>0</v>
      </c>
      <c r="U11" s="80">
        <f>IF(19='💰 CAPEX &amp; MOF'!$B$31,MIN(MAX(0,U6-U8),'💰 CAPEX &amp; MOF'!$B$30),0)</f>
        <v>0</v>
      </c>
      <c r="V11" s="80">
        <f>IF(20='💰 CAPEX &amp; MOF'!$B$31,MIN(MAX(0,V6-V8),'💰 CAPEX &amp; MOF'!$B$30),0)</f>
        <v>0</v>
      </c>
    </row>
    <row r="12" spans="1:22" ht="19.5" customHeight="1" x14ac:dyDescent="0.25">
      <c r="A12" s="154" t="s">
        <v>255</v>
      </c>
      <c r="B12" s="154"/>
      <c r="C12" s="154"/>
      <c r="D12" s="154"/>
      <c r="E12" s="154"/>
      <c r="F12" s="154"/>
      <c r="G12" s="154"/>
      <c r="H12" s="154"/>
      <c r="I12" s="154"/>
      <c r="J12" s="154"/>
      <c r="K12" s="154"/>
      <c r="L12" s="154"/>
      <c r="M12" s="154"/>
      <c r="N12" s="154"/>
      <c r="O12" s="154"/>
      <c r="P12" s="154"/>
      <c r="Q12" s="154"/>
      <c r="R12" s="154"/>
      <c r="S12" s="154"/>
      <c r="T12" s="154"/>
      <c r="U12" s="154"/>
      <c r="V12" s="154"/>
    </row>
    <row r="13" spans="1:22" ht="21.75" customHeight="1" x14ac:dyDescent="0.25">
      <c r="A13" s="42" t="s">
        <v>256</v>
      </c>
      <c r="B13" s="40"/>
      <c r="C13" s="73">
        <f>'📋 ASSUMPTIONS'!$B$37/4*D9</f>
        <v>40.440097621477278</v>
      </c>
      <c r="D13" s="73">
        <f>'📋 ASSUMPTIONS'!$B$37/4*E9</f>
        <v>37.747605453409093</v>
      </c>
      <c r="E13" s="73">
        <f>'📋 ASSUMPTIONS'!$B$37/4*F9</f>
        <v>35.055113285340909</v>
      </c>
      <c r="F13" s="73">
        <f>'📋 ASSUMPTIONS'!$B$37/4*G9</f>
        <v>32.362621117272731</v>
      </c>
      <c r="G13" s="73">
        <f>'📋 ASSUMPTIONS'!$B$37/4*H9</f>
        <v>29.67012894920455</v>
      </c>
      <c r="H13" s="73">
        <f>'📋 ASSUMPTIONS'!$B$37/4*I9</f>
        <v>19.895830644772751</v>
      </c>
      <c r="I13" s="73">
        <f>'📋 ASSUMPTIONS'!$B$37/4*J9</f>
        <v>0</v>
      </c>
      <c r="J13" s="73">
        <f>'📋 ASSUMPTIONS'!$B$37/4*K9</f>
        <v>0</v>
      </c>
      <c r="K13" s="73">
        <f>'📋 ASSUMPTIONS'!$B$37/4*L9</f>
        <v>0</v>
      </c>
      <c r="L13" s="73">
        <f>'📋 ASSUMPTIONS'!$B$37/4*M9</f>
        <v>0</v>
      </c>
      <c r="M13" s="73">
        <f>'📋 ASSUMPTIONS'!$B$37/4*N9</f>
        <v>0</v>
      </c>
      <c r="N13" s="73">
        <f>'📋 ASSUMPTIONS'!$B$37/4*O9</f>
        <v>0</v>
      </c>
      <c r="O13" s="73">
        <f>'📋 ASSUMPTIONS'!$B$37/4*P9</f>
        <v>0</v>
      </c>
      <c r="P13" s="73">
        <f>'📋 ASSUMPTIONS'!$B$37/4*Q9</f>
        <v>0</v>
      </c>
      <c r="Q13" s="73">
        <f>'📋 ASSUMPTIONS'!$B$37/4*R9</f>
        <v>0</v>
      </c>
      <c r="R13" s="73">
        <f>'📋 ASSUMPTIONS'!$B$37/4*S9</f>
        <v>0</v>
      </c>
      <c r="S13" s="73">
        <f>'📋 ASSUMPTIONS'!$B$37/4*T9</f>
        <v>0</v>
      </c>
      <c r="T13" s="73">
        <f>'📋 ASSUMPTIONS'!$B$37/4*U9</f>
        <v>0</v>
      </c>
      <c r="U13" s="73">
        <f>'📋 ASSUMPTIONS'!$B$37/4*V9</f>
        <v>0</v>
      </c>
      <c r="V13" s="73">
        <f>0</f>
        <v>0</v>
      </c>
    </row>
    <row r="15" spans="1:22" ht="15" customHeight="1" x14ac:dyDescent="0.25">
      <c r="A15" s="144" t="s">
        <v>257</v>
      </c>
      <c r="B15" s="144"/>
      <c r="C15" s="144"/>
      <c r="D15" s="144"/>
      <c r="E15" s="144"/>
      <c r="F15" s="144"/>
      <c r="G15" s="144"/>
      <c r="H15" s="144"/>
      <c r="I15" s="144"/>
      <c r="J15" s="144"/>
      <c r="K15" s="144"/>
      <c r="L15" s="144"/>
      <c r="M15" s="144"/>
      <c r="N15" s="144"/>
      <c r="O15" s="144"/>
      <c r="P15" s="144"/>
      <c r="Q15" s="144"/>
      <c r="R15" s="144"/>
      <c r="S15" s="144"/>
      <c r="T15" s="144"/>
      <c r="U15" s="144"/>
      <c r="V15" s="144"/>
    </row>
  </sheetData>
  <mergeCells count="4">
    <mergeCell ref="A1:V1"/>
    <mergeCell ref="A2:V2"/>
    <mergeCell ref="A12:V12"/>
    <mergeCell ref="A15:V15"/>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17A65"/>
  </sheetPr>
  <dimension ref="A1:V29"/>
  <sheetViews>
    <sheetView zoomScaleNormal="10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3" t="s">
        <v>258</v>
      </c>
    </row>
    <row r="2" spans="1:22" ht="15" customHeight="1" x14ac:dyDescent="0.25">
      <c r="A2" s="2" t="s">
        <v>259</v>
      </c>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9.5" customHeight="1" x14ac:dyDescent="0.25">
      <c r="A4" s="157" t="s">
        <v>260</v>
      </c>
      <c r="B4" s="157"/>
      <c r="C4" s="157"/>
      <c r="D4" s="157"/>
      <c r="E4" s="157"/>
      <c r="F4" s="157"/>
      <c r="G4" s="157"/>
      <c r="H4" s="157"/>
      <c r="I4" s="157"/>
      <c r="J4" s="157"/>
      <c r="K4" s="157"/>
      <c r="L4" s="157"/>
      <c r="M4" s="157"/>
      <c r="N4" s="157"/>
      <c r="O4" s="157"/>
      <c r="P4" s="157"/>
      <c r="Q4" s="157"/>
      <c r="R4" s="157"/>
      <c r="S4" s="157"/>
      <c r="T4" s="157"/>
      <c r="U4" s="157"/>
      <c r="V4" s="157"/>
    </row>
    <row r="5" spans="1:22" ht="15" customHeight="1" x14ac:dyDescent="0.25">
      <c r="A5" s="14" t="s">
        <v>217</v>
      </c>
      <c r="B5" s="33"/>
      <c r="C5" s="81">
        <f>'📊 REVENUE MODEL'!C8</f>
        <v>52.185000000000002</v>
      </c>
      <c r="D5" s="81">
        <f>'📊 REVENUE MODEL'!D8</f>
        <v>51.141300000000001</v>
      </c>
      <c r="E5" s="81">
        <f>'📊 REVENUE MODEL'!E8</f>
        <v>50.118473999999999</v>
      </c>
      <c r="F5" s="81">
        <f>'📊 REVENUE MODEL'!F8</f>
        <v>49.11610452</v>
      </c>
      <c r="G5" s="81">
        <f>'📊 REVENUE MODEL'!G8</f>
        <v>48.133782429599997</v>
      </c>
      <c r="H5" s="81">
        <f>'📊 REVENUE MODEL'!H8</f>
        <v>47.171106781007992</v>
      </c>
      <c r="I5" s="81">
        <f>'📊 REVENUE MODEL'!I8</f>
        <v>46.227684645387825</v>
      </c>
      <c r="J5" s="81">
        <f>'📊 REVENUE MODEL'!J8</f>
        <v>45.303130952480068</v>
      </c>
      <c r="K5" s="81">
        <f>'📊 REVENUE MODEL'!K8</f>
        <v>44.397068333430468</v>
      </c>
      <c r="L5" s="81">
        <f>'📊 REVENUE MODEL'!L8</f>
        <v>43.509126966761862</v>
      </c>
      <c r="M5" s="81">
        <f>'📊 REVENUE MODEL'!M8</f>
        <v>49.575749999999999</v>
      </c>
      <c r="N5" s="81">
        <f>'📊 REVENUE MODEL'!N8</f>
        <v>48.584235</v>
      </c>
      <c r="O5" s="81">
        <f>'📊 REVENUE MODEL'!O8</f>
        <v>33.328785209999999</v>
      </c>
      <c r="P5" s="81">
        <f>'📊 REVENUE MODEL'!P8</f>
        <v>32.662209505799993</v>
      </c>
      <c r="Q5" s="81">
        <f>'📊 REVENUE MODEL'!Q8</f>
        <v>32.008965315683994</v>
      </c>
      <c r="R5" s="81">
        <f>'📊 REVENUE MODEL'!R8</f>
        <v>31.368786009370314</v>
      </c>
      <c r="S5" s="81">
        <f>'📊 REVENUE MODEL'!S8</f>
        <v>30.741410289182905</v>
      </c>
      <c r="T5" s="81">
        <f>'📊 REVENUE MODEL'!T8</f>
        <v>30.126582083399253</v>
      </c>
      <c r="U5" s="81">
        <f>'📊 REVENUE MODEL'!U8</f>
        <v>29.524050441731266</v>
      </c>
      <c r="V5" s="81">
        <f>'📊 REVENUE MODEL'!V8</f>
        <v>28.93356943289664</v>
      </c>
    </row>
    <row r="6" spans="1:22" ht="15" customHeight="1" x14ac:dyDescent="0.25">
      <c r="A6" s="14" t="s">
        <v>219</v>
      </c>
      <c r="B6" s="33"/>
      <c r="C6" s="81">
        <f>'📊 REVENUE MODEL'!C10</f>
        <v>0</v>
      </c>
      <c r="D6" s="81">
        <f>'📊 REVENUE MODEL'!D10</f>
        <v>0</v>
      </c>
      <c r="E6" s="81">
        <f>'📊 REVENUE MODEL'!E10</f>
        <v>0</v>
      </c>
      <c r="F6" s="81">
        <f>'📊 REVENUE MODEL'!F10</f>
        <v>0</v>
      </c>
      <c r="G6" s="81">
        <f>'📊 REVENUE MODEL'!G10</f>
        <v>0</v>
      </c>
      <c r="H6" s="81">
        <f>'📊 REVENUE MODEL'!H10</f>
        <v>0</v>
      </c>
      <c r="I6" s="81">
        <f>'📊 REVENUE MODEL'!I10</f>
        <v>0</v>
      </c>
      <c r="J6" s="81">
        <f>'📊 REVENUE MODEL'!J10</f>
        <v>0</v>
      </c>
      <c r="K6" s="81">
        <f>'📊 REVENUE MODEL'!K10</f>
        <v>0</v>
      </c>
      <c r="L6" s="81">
        <f>'📊 REVENUE MODEL'!L10</f>
        <v>0</v>
      </c>
      <c r="M6" s="81">
        <f>'📊 REVENUE MODEL'!M10</f>
        <v>0</v>
      </c>
      <c r="N6" s="81">
        <f>'📊 REVENUE MODEL'!N10</f>
        <v>0</v>
      </c>
      <c r="O6" s="81">
        <f>'📊 REVENUE MODEL'!O10</f>
        <v>0</v>
      </c>
      <c r="P6" s="81">
        <f>'📊 REVENUE MODEL'!P10</f>
        <v>0</v>
      </c>
      <c r="Q6" s="81">
        <f>'📊 REVENUE MODEL'!Q10</f>
        <v>0</v>
      </c>
      <c r="R6" s="81">
        <f>'📊 REVENUE MODEL'!R10</f>
        <v>0</v>
      </c>
      <c r="S6" s="81">
        <f>'📊 REVENUE MODEL'!S10</f>
        <v>0</v>
      </c>
      <c r="T6" s="81">
        <f>'📊 REVENUE MODEL'!T10</f>
        <v>0</v>
      </c>
      <c r="U6" s="81">
        <f>'📊 REVENUE MODEL'!U10</f>
        <v>0</v>
      </c>
      <c r="V6" s="81">
        <f>'📊 REVENUE MODEL'!V10</f>
        <v>0</v>
      </c>
    </row>
    <row r="7" spans="1:22" ht="15" customHeight="1" x14ac:dyDescent="0.25">
      <c r="A7" s="82" t="s">
        <v>220</v>
      </c>
      <c r="B7" s="66"/>
      <c r="C7" s="83">
        <f t="shared" ref="C7:V7" si="0">C5+C6</f>
        <v>52.185000000000002</v>
      </c>
      <c r="D7" s="83">
        <f t="shared" si="0"/>
        <v>51.141300000000001</v>
      </c>
      <c r="E7" s="83">
        <f t="shared" si="0"/>
        <v>50.118473999999999</v>
      </c>
      <c r="F7" s="83">
        <f t="shared" si="0"/>
        <v>49.11610452</v>
      </c>
      <c r="G7" s="83">
        <f t="shared" si="0"/>
        <v>48.133782429599997</v>
      </c>
      <c r="H7" s="83">
        <f t="shared" si="0"/>
        <v>47.171106781007992</v>
      </c>
      <c r="I7" s="83">
        <f t="shared" si="0"/>
        <v>46.227684645387825</v>
      </c>
      <c r="J7" s="83">
        <f t="shared" si="0"/>
        <v>45.303130952480068</v>
      </c>
      <c r="K7" s="83">
        <f t="shared" si="0"/>
        <v>44.397068333430468</v>
      </c>
      <c r="L7" s="83">
        <f t="shared" si="0"/>
        <v>43.509126966761862</v>
      </c>
      <c r="M7" s="83">
        <f t="shared" si="0"/>
        <v>49.575749999999999</v>
      </c>
      <c r="N7" s="83">
        <f t="shared" si="0"/>
        <v>48.584235</v>
      </c>
      <c r="O7" s="83">
        <f t="shared" si="0"/>
        <v>33.328785209999999</v>
      </c>
      <c r="P7" s="83">
        <f t="shared" si="0"/>
        <v>32.662209505799993</v>
      </c>
      <c r="Q7" s="83">
        <f t="shared" si="0"/>
        <v>32.008965315683994</v>
      </c>
      <c r="R7" s="83">
        <f t="shared" si="0"/>
        <v>31.368786009370314</v>
      </c>
      <c r="S7" s="83">
        <f t="shared" si="0"/>
        <v>30.741410289182905</v>
      </c>
      <c r="T7" s="83">
        <f t="shared" si="0"/>
        <v>30.126582083399253</v>
      </c>
      <c r="U7" s="83">
        <f t="shared" si="0"/>
        <v>29.524050441731266</v>
      </c>
      <c r="V7" s="83">
        <f t="shared" si="0"/>
        <v>28.93356943289664</v>
      </c>
    </row>
    <row r="8" spans="1:22" ht="15" customHeight="1" x14ac:dyDescent="0.25">
      <c r="A8" s="84"/>
      <c r="B8" s="33"/>
      <c r="C8" s="85"/>
      <c r="D8" s="85"/>
      <c r="E8" s="85"/>
      <c r="F8" s="85"/>
      <c r="G8" s="85"/>
      <c r="H8" s="85"/>
      <c r="I8" s="85"/>
      <c r="J8" s="85"/>
      <c r="K8" s="85"/>
      <c r="L8" s="85"/>
      <c r="M8" s="85"/>
      <c r="N8" s="85"/>
      <c r="O8" s="85"/>
      <c r="P8" s="85"/>
      <c r="Q8" s="85"/>
      <c r="R8" s="85"/>
      <c r="S8" s="85"/>
      <c r="T8" s="85"/>
      <c r="U8" s="85"/>
      <c r="V8" s="85"/>
    </row>
    <row r="9" spans="1:22" ht="19.5" customHeight="1" x14ac:dyDescent="0.25">
      <c r="A9" s="158" t="s">
        <v>261</v>
      </c>
      <c r="B9" s="158"/>
      <c r="C9" s="158"/>
      <c r="D9" s="158"/>
      <c r="E9" s="158"/>
      <c r="F9" s="158"/>
      <c r="G9" s="158"/>
      <c r="H9" s="158"/>
      <c r="I9" s="158"/>
      <c r="J9" s="158"/>
      <c r="K9" s="158"/>
      <c r="L9" s="158"/>
      <c r="M9" s="158"/>
      <c r="N9" s="158"/>
      <c r="O9" s="158"/>
      <c r="P9" s="158"/>
      <c r="Q9" s="158"/>
      <c r="R9" s="158"/>
      <c r="S9" s="158"/>
      <c r="T9" s="158"/>
      <c r="U9" s="158"/>
      <c r="V9" s="158"/>
    </row>
    <row r="10" spans="1:22" ht="15" customHeight="1" x14ac:dyDescent="0.25">
      <c r="A10" s="68" t="s">
        <v>224</v>
      </c>
      <c r="B10" s="20"/>
      <c r="C10" s="86">
        <f>'💸 OPEX SCHEDULE'!C5</f>
        <v>15</v>
      </c>
      <c r="D10" s="86">
        <f>'💸 OPEX SCHEDULE'!D5</f>
        <v>15.75</v>
      </c>
      <c r="E10" s="86">
        <f>'💸 OPEX SCHEDULE'!E5</f>
        <v>16.537500000000001</v>
      </c>
      <c r="F10" s="86">
        <f>'💸 OPEX SCHEDULE'!F5</f>
        <v>17.364375000000003</v>
      </c>
      <c r="G10" s="86">
        <f>'💸 OPEX SCHEDULE'!G5</f>
        <v>18.232593749999999</v>
      </c>
      <c r="H10" s="86">
        <f>'💸 OPEX SCHEDULE'!H5</f>
        <v>19.144223437500003</v>
      </c>
      <c r="I10" s="86">
        <f>'💸 OPEX SCHEDULE'!I5</f>
        <v>20.101434609374998</v>
      </c>
      <c r="J10" s="86">
        <f>'💸 OPEX SCHEDULE'!J5</f>
        <v>21.106506339843754</v>
      </c>
      <c r="K10" s="86">
        <f>'💸 OPEX SCHEDULE'!K5</f>
        <v>22.16183165683594</v>
      </c>
      <c r="L10" s="86">
        <f>'💸 OPEX SCHEDULE'!L5</f>
        <v>23.269923239677738</v>
      </c>
      <c r="M10" s="86">
        <f>'💸 OPEX SCHEDULE'!M5</f>
        <v>24.433419401661624</v>
      </c>
      <c r="N10" s="86">
        <f>'💸 OPEX SCHEDULE'!N5</f>
        <v>25.655090371744706</v>
      </c>
      <c r="O10" s="86">
        <f>'💸 OPEX SCHEDULE'!O5</f>
        <v>26.937844890331938</v>
      </c>
      <c r="P10" s="86">
        <f>'💸 OPEX SCHEDULE'!P5</f>
        <v>28.284737134848541</v>
      </c>
      <c r="Q10" s="86">
        <f>'💸 OPEX SCHEDULE'!Q5</f>
        <v>29.698973991590961</v>
      </c>
      <c r="R10" s="86">
        <f>'💸 OPEX SCHEDULE'!R5</f>
        <v>31.183922691170519</v>
      </c>
      <c r="S10" s="86">
        <f>'💸 OPEX SCHEDULE'!S5</f>
        <v>32.743118825729042</v>
      </c>
      <c r="T10" s="86">
        <f>'💸 OPEX SCHEDULE'!T5</f>
        <v>34.3802747670155</v>
      </c>
      <c r="U10" s="86">
        <f>'💸 OPEX SCHEDULE'!U5</f>
        <v>36.099288505366275</v>
      </c>
      <c r="V10" s="86">
        <f>'💸 OPEX SCHEDULE'!V5</f>
        <v>37.904252930634584</v>
      </c>
    </row>
    <row r="11" spans="1:22" ht="15" customHeight="1" x14ac:dyDescent="0.25">
      <c r="A11" s="68" t="s">
        <v>225</v>
      </c>
      <c r="B11" s="20"/>
      <c r="C11" s="86">
        <f>'💸 OPEX SCHEDULE'!C6</f>
        <v>2.7551082650000001</v>
      </c>
      <c r="D11" s="86">
        <f>'💸 OPEX SCHEDULE'!D6</f>
        <v>2.7551082650000001</v>
      </c>
      <c r="E11" s="86">
        <f>'💸 OPEX SCHEDULE'!E6</f>
        <v>2.7551082650000001</v>
      </c>
      <c r="F11" s="86">
        <f>'💸 OPEX SCHEDULE'!F6</f>
        <v>2.7551082650000001</v>
      </c>
      <c r="G11" s="86">
        <f>'💸 OPEX SCHEDULE'!G6</f>
        <v>2.7551082650000001</v>
      </c>
      <c r="H11" s="86">
        <f>'💸 OPEX SCHEDULE'!H6</f>
        <v>2.7551082650000001</v>
      </c>
      <c r="I11" s="86">
        <f>'💸 OPEX SCHEDULE'!I6</f>
        <v>2.7551082650000001</v>
      </c>
      <c r="J11" s="86">
        <f>'💸 OPEX SCHEDULE'!J6</f>
        <v>2.7551082650000001</v>
      </c>
      <c r="K11" s="86">
        <f>'💸 OPEX SCHEDULE'!K6</f>
        <v>2.7551082650000001</v>
      </c>
      <c r="L11" s="86">
        <f>'💸 OPEX SCHEDULE'!L6</f>
        <v>2.7551082650000001</v>
      </c>
      <c r="M11" s="86">
        <f>'💸 OPEX SCHEDULE'!M6</f>
        <v>2.7551082650000001</v>
      </c>
      <c r="N11" s="86">
        <f>'💸 OPEX SCHEDULE'!N6</f>
        <v>2.7551082650000001</v>
      </c>
      <c r="O11" s="86">
        <f>'💸 OPEX SCHEDULE'!O6</f>
        <v>2.7551082650000001</v>
      </c>
      <c r="P11" s="86">
        <f>'💸 OPEX SCHEDULE'!P6</f>
        <v>2.7551082650000001</v>
      </c>
      <c r="Q11" s="86">
        <f>'💸 OPEX SCHEDULE'!Q6</f>
        <v>2.7551082650000001</v>
      </c>
      <c r="R11" s="86">
        <f>'💸 OPEX SCHEDULE'!R6</f>
        <v>2.7551082650000001</v>
      </c>
      <c r="S11" s="86">
        <f>'💸 OPEX SCHEDULE'!S6</f>
        <v>2.7551082650000001</v>
      </c>
      <c r="T11" s="86">
        <f>'💸 OPEX SCHEDULE'!T6</f>
        <v>2.7551082650000001</v>
      </c>
      <c r="U11" s="86">
        <f>'💸 OPEX SCHEDULE'!U6</f>
        <v>2.7551082650000001</v>
      </c>
      <c r="V11" s="86">
        <f>'💸 OPEX SCHEDULE'!V6</f>
        <v>2.7551082650000001</v>
      </c>
    </row>
    <row r="12" spans="1:22" ht="15" customHeight="1" x14ac:dyDescent="0.25">
      <c r="A12" s="68" t="s">
        <v>226</v>
      </c>
      <c r="B12" s="20"/>
      <c r="C12" s="86">
        <f>'💸 OPEX SCHEDULE'!C7</f>
        <v>0.5</v>
      </c>
      <c r="D12" s="86">
        <f>'💸 OPEX SCHEDULE'!D7</f>
        <v>0.52500000000000002</v>
      </c>
      <c r="E12" s="86">
        <f>'💸 OPEX SCHEDULE'!E7</f>
        <v>0.55125000000000002</v>
      </c>
      <c r="F12" s="86">
        <f>'💸 OPEX SCHEDULE'!F7</f>
        <v>0.57881250000000006</v>
      </c>
      <c r="G12" s="86">
        <f>'💸 OPEX SCHEDULE'!G7</f>
        <v>0.60775312500000001</v>
      </c>
      <c r="H12" s="86">
        <f>'💸 OPEX SCHEDULE'!H7</f>
        <v>0.63814078125000007</v>
      </c>
      <c r="I12" s="86">
        <f>'💸 OPEX SCHEDULE'!I7</f>
        <v>0.67004782031249999</v>
      </c>
      <c r="J12" s="86">
        <f>'💸 OPEX SCHEDULE'!J7</f>
        <v>0.70355021132812512</v>
      </c>
      <c r="K12" s="86">
        <f>'💸 OPEX SCHEDULE'!K7</f>
        <v>0.73872772189453129</v>
      </c>
      <c r="L12" s="86">
        <f>'💸 OPEX SCHEDULE'!L7</f>
        <v>0.77566410798925789</v>
      </c>
      <c r="M12" s="86">
        <f>'💸 OPEX SCHEDULE'!M7</f>
        <v>0.81444731338872078</v>
      </c>
      <c r="N12" s="86">
        <f>'💸 OPEX SCHEDULE'!N7</f>
        <v>0.85516967905815688</v>
      </c>
      <c r="O12" s="86">
        <f>'💸 OPEX SCHEDULE'!O7</f>
        <v>0.8979281630110646</v>
      </c>
      <c r="P12" s="86">
        <f>'💸 OPEX SCHEDULE'!P7</f>
        <v>0.942824571161618</v>
      </c>
      <c r="Q12" s="86">
        <f>'💸 OPEX SCHEDULE'!Q7</f>
        <v>0.98996579971969867</v>
      </c>
      <c r="R12" s="86">
        <f>'💸 OPEX SCHEDULE'!R7</f>
        <v>1.0394640897056839</v>
      </c>
      <c r="S12" s="86">
        <f>'💸 OPEX SCHEDULE'!S7</f>
        <v>1.091437294190968</v>
      </c>
      <c r="T12" s="86">
        <f>'💸 OPEX SCHEDULE'!T7</f>
        <v>1.1460091589005166</v>
      </c>
      <c r="U12" s="86">
        <f>'💸 OPEX SCHEDULE'!U7</f>
        <v>1.2033096168455424</v>
      </c>
      <c r="V12" s="86">
        <f>'💸 OPEX SCHEDULE'!V7</f>
        <v>1.2634750976878195</v>
      </c>
    </row>
    <row r="13" spans="1:22" ht="15" customHeight="1" x14ac:dyDescent="0.25">
      <c r="A13" s="23" t="s">
        <v>262</v>
      </c>
      <c r="B13" s="32"/>
      <c r="C13" s="87">
        <f t="shared" ref="C13:V13" si="1">C10+C11+C12</f>
        <v>18.255108265000001</v>
      </c>
      <c r="D13" s="87">
        <f t="shared" si="1"/>
        <v>19.030108264999999</v>
      </c>
      <c r="E13" s="87">
        <f t="shared" si="1"/>
        <v>19.843858265000001</v>
      </c>
      <c r="F13" s="87">
        <f t="shared" si="1"/>
        <v>20.698295765000005</v>
      </c>
      <c r="G13" s="87">
        <f t="shared" si="1"/>
        <v>21.595455139999999</v>
      </c>
      <c r="H13" s="87">
        <f t="shared" si="1"/>
        <v>22.537472483750005</v>
      </c>
      <c r="I13" s="87">
        <f t="shared" si="1"/>
        <v>23.526590694687499</v>
      </c>
      <c r="J13" s="87">
        <f t="shared" si="1"/>
        <v>24.56516481617188</v>
      </c>
      <c r="K13" s="87">
        <f t="shared" si="1"/>
        <v>25.655667643730471</v>
      </c>
      <c r="L13" s="87">
        <f t="shared" si="1"/>
        <v>26.800695612666996</v>
      </c>
      <c r="M13" s="87">
        <f t="shared" si="1"/>
        <v>28.002974980050347</v>
      </c>
      <c r="N13" s="87">
        <f t="shared" si="1"/>
        <v>29.265368315802863</v>
      </c>
      <c r="O13" s="87">
        <f t="shared" si="1"/>
        <v>30.590881318343005</v>
      </c>
      <c r="P13" s="87">
        <f t="shared" si="1"/>
        <v>31.982669971010161</v>
      </c>
      <c r="Q13" s="87">
        <f t="shared" si="1"/>
        <v>33.444048056310656</v>
      </c>
      <c r="R13" s="87">
        <f t="shared" si="1"/>
        <v>34.978495045876201</v>
      </c>
      <c r="S13" s="87">
        <f t="shared" si="1"/>
        <v>36.589664384920006</v>
      </c>
      <c r="T13" s="87">
        <f t="shared" si="1"/>
        <v>38.281392190916016</v>
      </c>
      <c r="U13" s="87">
        <f t="shared" si="1"/>
        <v>40.057706387211816</v>
      </c>
      <c r="V13" s="87">
        <f t="shared" si="1"/>
        <v>41.922836293322398</v>
      </c>
    </row>
    <row r="14" spans="1:22" ht="15" customHeight="1" x14ac:dyDescent="0.25">
      <c r="A14" s="65"/>
      <c r="B14" s="66"/>
      <c r="C14" s="67"/>
      <c r="D14" s="67"/>
      <c r="E14" s="67"/>
      <c r="F14" s="67"/>
      <c r="G14" s="67"/>
      <c r="H14" s="67"/>
      <c r="I14" s="67"/>
      <c r="J14" s="67"/>
      <c r="K14" s="67"/>
      <c r="L14" s="67"/>
      <c r="M14" s="67"/>
      <c r="N14" s="67"/>
      <c r="O14" s="67"/>
      <c r="P14" s="67"/>
      <c r="Q14" s="67"/>
      <c r="R14" s="67"/>
      <c r="S14" s="67"/>
      <c r="T14" s="67"/>
      <c r="U14" s="67"/>
      <c r="V14" s="67"/>
    </row>
    <row r="15" spans="1:22" ht="15" customHeight="1" x14ac:dyDescent="0.25">
      <c r="A15" s="65" t="s">
        <v>263</v>
      </c>
      <c r="B15" s="66"/>
      <c r="C15" s="67">
        <f t="shared" ref="C15:V15" si="2">C7-C13</f>
        <v>33.929891734999998</v>
      </c>
      <c r="D15" s="67">
        <f t="shared" si="2"/>
        <v>32.111191735000006</v>
      </c>
      <c r="E15" s="67">
        <f t="shared" si="2"/>
        <v>30.274615734999998</v>
      </c>
      <c r="F15" s="67">
        <f t="shared" si="2"/>
        <v>28.417808754999996</v>
      </c>
      <c r="G15" s="67">
        <f t="shared" si="2"/>
        <v>26.538327289599998</v>
      </c>
      <c r="H15" s="67">
        <f t="shared" si="2"/>
        <v>24.633634297257988</v>
      </c>
      <c r="I15" s="67">
        <f t="shared" si="2"/>
        <v>22.701093950700326</v>
      </c>
      <c r="J15" s="67">
        <f t="shared" si="2"/>
        <v>20.737966136308188</v>
      </c>
      <c r="K15" s="67">
        <f t="shared" si="2"/>
        <v>18.741400689699997</v>
      </c>
      <c r="L15" s="67">
        <f t="shared" si="2"/>
        <v>16.708431354094866</v>
      </c>
      <c r="M15" s="67">
        <f t="shared" si="2"/>
        <v>21.572775019949653</v>
      </c>
      <c r="N15" s="67">
        <f t="shared" si="2"/>
        <v>19.318866684197136</v>
      </c>
      <c r="O15" s="67">
        <f t="shared" si="2"/>
        <v>2.7379038916569947</v>
      </c>
      <c r="P15" s="67">
        <f t="shared" si="2"/>
        <v>0.67953953478983209</v>
      </c>
      <c r="Q15" s="67">
        <f t="shared" si="2"/>
        <v>-1.4350827406266617</v>
      </c>
      <c r="R15" s="67">
        <f t="shared" si="2"/>
        <v>-3.6097090365058868</v>
      </c>
      <c r="S15" s="67">
        <f t="shared" si="2"/>
        <v>-5.8482540957371008</v>
      </c>
      <c r="T15" s="67">
        <f t="shared" si="2"/>
        <v>-8.1548101075167629</v>
      </c>
      <c r="U15" s="67">
        <f t="shared" si="2"/>
        <v>-10.53365594548055</v>
      </c>
      <c r="V15" s="67">
        <f t="shared" si="2"/>
        <v>-12.989266860425758</v>
      </c>
    </row>
    <row r="16" spans="1:22" ht="15" customHeight="1" x14ac:dyDescent="0.25">
      <c r="A16" s="88" t="s">
        <v>264</v>
      </c>
      <c r="B16" s="33"/>
      <c r="C16" s="89">
        <f t="shared" ref="C16:V16" si="3">IFERROR(C15/C7,0)</f>
        <v>0.65018476065919317</v>
      </c>
      <c r="D16" s="89">
        <f t="shared" si="3"/>
        <v>0.62789158146155855</v>
      </c>
      <c r="E16" s="89">
        <f t="shared" si="3"/>
        <v>0.60406100423169307</v>
      </c>
      <c r="F16" s="89">
        <f t="shared" si="3"/>
        <v>0.57858433670016129</v>
      </c>
      <c r="G16" s="89">
        <f t="shared" si="3"/>
        <v>0.55134514575941951</v>
      </c>
      <c r="H16" s="89">
        <f t="shared" si="3"/>
        <v>0.52221870501406109</v>
      </c>
      <c r="I16" s="89">
        <f t="shared" si="3"/>
        <v>0.49107140287990247</v>
      </c>
      <c r="J16" s="89">
        <f t="shared" si="3"/>
        <v>0.45776010841416054</v>
      </c>
      <c r="K16" s="89">
        <f t="shared" si="3"/>
        <v>0.42213149185771676</v>
      </c>
      <c r="L16" s="89">
        <f t="shared" si="3"/>
        <v>0.38402129665481494</v>
      </c>
      <c r="M16" s="89">
        <f t="shared" si="3"/>
        <v>0.43514772887852737</v>
      </c>
      <c r="N16" s="89">
        <f t="shared" si="3"/>
        <v>0.39763653136037103</v>
      </c>
      <c r="O16" s="89">
        <f t="shared" si="3"/>
        <v>8.2148325371172282E-2</v>
      </c>
      <c r="P16" s="89">
        <f t="shared" si="3"/>
        <v>2.0805069377476219E-2</v>
      </c>
      <c r="Q16" s="89">
        <f t="shared" si="3"/>
        <v>-4.4833774740087866E-2</v>
      </c>
      <c r="R16" s="89">
        <f t="shared" si="3"/>
        <v>-0.11507327811243999</v>
      </c>
      <c r="S16" s="89">
        <f t="shared" si="3"/>
        <v>-0.19024026681674222</v>
      </c>
      <c r="T16" s="89">
        <f t="shared" si="3"/>
        <v>-0.27068487506952654</v>
      </c>
      <c r="U16" s="89">
        <f t="shared" si="3"/>
        <v>-0.35678220934725058</v>
      </c>
      <c r="V16" s="89">
        <f t="shared" si="3"/>
        <v>-0.44893413135737525</v>
      </c>
    </row>
    <row r="18" spans="1:22" ht="15" customHeight="1" x14ac:dyDescent="0.25">
      <c r="A18" s="42" t="s">
        <v>265</v>
      </c>
      <c r="B18" s="40"/>
      <c r="C18" s="90">
        <f>'📉 DEPRECIATION'!C6</f>
        <v>37.390755024999997</v>
      </c>
      <c r="D18" s="90">
        <f>'📉 DEPRECIATION'!D6</f>
        <v>37.390755024999997</v>
      </c>
      <c r="E18" s="90">
        <f>'📉 DEPRECIATION'!E6</f>
        <v>37.390755024999997</v>
      </c>
      <c r="F18" s="90">
        <f>'📉 DEPRECIATION'!F6</f>
        <v>37.390755024999997</v>
      </c>
      <c r="G18" s="90">
        <f>'📉 DEPRECIATION'!G6</f>
        <v>37.390755024999997</v>
      </c>
      <c r="H18" s="90">
        <f>'📉 DEPRECIATION'!H6</f>
        <v>37.390755024999997</v>
      </c>
      <c r="I18" s="90">
        <f>'📉 DEPRECIATION'!I6</f>
        <v>37.390755024999997</v>
      </c>
      <c r="J18" s="90">
        <f>'📉 DEPRECIATION'!J6</f>
        <v>37.390755024999997</v>
      </c>
      <c r="K18" s="90">
        <f>'📉 DEPRECIATION'!K6</f>
        <v>37.390755024999997</v>
      </c>
      <c r="L18" s="90">
        <f>'📉 DEPRECIATION'!L6</f>
        <v>37.390755024999997</v>
      </c>
      <c r="M18" s="90">
        <f>'📉 DEPRECIATION'!M6</f>
        <v>48.640755024999997</v>
      </c>
      <c r="N18" s="90">
        <f>'📉 DEPRECIATION'!N6</f>
        <v>48.640755024999997</v>
      </c>
      <c r="O18" s="90">
        <f>'📉 DEPRECIATION'!O6</f>
        <v>48.640755024999997</v>
      </c>
      <c r="P18" s="90">
        <f>'📉 DEPRECIATION'!P6</f>
        <v>48.640755024999997</v>
      </c>
      <c r="Q18" s="90">
        <f>'📉 DEPRECIATION'!Q6</f>
        <v>48.640755024999997</v>
      </c>
      <c r="R18" s="90">
        <f>'📉 DEPRECIATION'!R6</f>
        <v>48.640755024999997</v>
      </c>
      <c r="S18" s="90">
        <f>'📉 DEPRECIATION'!S6</f>
        <v>48.640755024999997</v>
      </c>
      <c r="T18" s="90">
        <f>'📉 DEPRECIATION'!T6</f>
        <v>48.640755024999997</v>
      </c>
      <c r="U18" s="90">
        <f>'📉 DEPRECIATION'!U6</f>
        <v>48.640755024999997</v>
      </c>
      <c r="V18" s="90">
        <f>'📉 DEPRECIATION'!V6</f>
        <v>48.640755024999997</v>
      </c>
    </row>
    <row r="19" spans="1:22" ht="15" customHeight="1" x14ac:dyDescent="0.25">
      <c r="A19" s="84" t="s">
        <v>266</v>
      </c>
      <c r="B19" s="33"/>
      <c r="C19" s="85">
        <f t="shared" ref="C19:V19" si="4">C15-C18</f>
        <v>-3.4608632899999989</v>
      </c>
      <c r="D19" s="85">
        <f t="shared" si="4"/>
        <v>-5.2795632899999916</v>
      </c>
      <c r="E19" s="85">
        <f t="shared" si="4"/>
        <v>-7.1161392899999996</v>
      </c>
      <c r="F19" s="85">
        <f t="shared" si="4"/>
        <v>-8.9729462700000013</v>
      </c>
      <c r="G19" s="85">
        <f t="shared" si="4"/>
        <v>-10.852427735399999</v>
      </c>
      <c r="H19" s="85">
        <f t="shared" si="4"/>
        <v>-12.757120727742009</v>
      </c>
      <c r="I19" s="85">
        <f t="shared" si="4"/>
        <v>-14.689661074299671</v>
      </c>
      <c r="J19" s="85">
        <f t="shared" si="4"/>
        <v>-16.652788888691809</v>
      </c>
      <c r="K19" s="85">
        <f t="shared" si="4"/>
        <v>-18.6493543353</v>
      </c>
      <c r="L19" s="85">
        <f t="shared" si="4"/>
        <v>-20.682323670905131</v>
      </c>
      <c r="M19" s="85">
        <f t="shared" si="4"/>
        <v>-27.067980005050345</v>
      </c>
      <c r="N19" s="85">
        <f t="shared" si="4"/>
        <v>-29.321888340802861</v>
      </c>
      <c r="O19" s="85">
        <f t="shared" si="4"/>
        <v>-45.902851133343006</v>
      </c>
      <c r="P19" s="85">
        <f t="shared" si="4"/>
        <v>-47.961215490210165</v>
      </c>
      <c r="Q19" s="85">
        <f t="shared" si="4"/>
        <v>-50.075837765626659</v>
      </c>
      <c r="R19" s="85">
        <f t="shared" si="4"/>
        <v>-52.25046406150588</v>
      </c>
      <c r="S19" s="85">
        <f t="shared" si="4"/>
        <v>-54.489009120737094</v>
      </c>
      <c r="T19" s="85">
        <f t="shared" si="4"/>
        <v>-56.795565132516757</v>
      </c>
      <c r="U19" s="85">
        <f t="shared" si="4"/>
        <v>-59.174410970480551</v>
      </c>
      <c r="V19" s="85">
        <f t="shared" si="4"/>
        <v>-61.630021885425755</v>
      </c>
    </row>
    <row r="20" spans="1:22" ht="18.75" customHeight="1" x14ac:dyDescent="0.25">
      <c r="A20" s="42" t="s">
        <v>267</v>
      </c>
      <c r="B20" s="40"/>
      <c r="C20" s="90">
        <f>'📉 DEPRECIATION'!C18</f>
        <v>13.231399999999999</v>
      </c>
      <c r="D20" s="90">
        <f>'📉 DEPRECIATION'!D18</f>
        <v>13.231399999999999</v>
      </c>
      <c r="E20" s="90">
        <f>'📉 DEPRECIATION'!E18</f>
        <v>13.231399999999999</v>
      </c>
      <c r="F20" s="90">
        <f>'📉 DEPRECIATION'!F18</f>
        <v>13.231399999999999</v>
      </c>
      <c r="G20" s="90">
        <f>'📉 DEPRECIATION'!G18</f>
        <v>13.231399999999999</v>
      </c>
      <c r="H20" s="90">
        <f>'📉 DEPRECIATION'!H18</f>
        <v>13.231399999999999</v>
      </c>
      <c r="I20" s="90">
        <f>'📉 DEPRECIATION'!I18</f>
        <v>13.231399999999999</v>
      </c>
      <c r="J20" s="90">
        <f>'📉 DEPRECIATION'!J18</f>
        <v>13.231399999999999</v>
      </c>
      <c r="K20" s="90">
        <f>'📉 DEPRECIATION'!K18</f>
        <v>13.231399999999999</v>
      </c>
      <c r="L20" s="90">
        <f>'📉 DEPRECIATION'!L18</f>
        <v>13.231399999999999</v>
      </c>
      <c r="M20" s="90">
        <f>'📉 DEPRECIATION'!M18</f>
        <v>13.231399999999999</v>
      </c>
      <c r="N20" s="90">
        <f>'📉 DEPRECIATION'!N18</f>
        <v>13.231399999999999</v>
      </c>
      <c r="O20" s="90">
        <f>'📉 DEPRECIATION'!O18</f>
        <v>13.231399999999999</v>
      </c>
      <c r="P20" s="90">
        <f>'📉 DEPRECIATION'!P18</f>
        <v>13.231399999999999</v>
      </c>
      <c r="Q20" s="90">
        <f>'📉 DEPRECIATION'!Q18</f>
        <v>13.231399999999999</v>
      </c>
      <c r="R20" s="90">
        <f>'📉 DEPRECIATION'!R18</f>
        <v>13.231399999999999</v>
      </c>
      <c r="S20" s="90">
        <f>'📉 DEPRECIATION'!S18</f>
        <v>13.231399999999999</v>
      </c>
      <c r="T20" s="90">
        <f>'📉 DEPRECIATION'!T18</f>
        <v>13.231399999999999</v>
      </c>
      <c r="U20" s="90">
        <f>'📉 DEPRECIATION'!U18</f>
        <v>13.231399999999999</v>
      </c>
      <c r="V20" s="90">
        <f>'📉 DEPRECIATION'!V18</f>
        <v>13.231399999999999</v>
      </c>
    </row>
    <row r="21" spans="1:22" ht="15" customHeight="1" x14ac:dyDescent="0.25">
      <c r="A21" s="68" t="s">
        <v>250</v>
      </c>
      <c r="B21" s="20"/>
      <c r="C21" s="86">
        <f>'🏦 DEBT SCHEDULE'!C7</f>
        <v>59.234827697500002</v>
      </c>
      <c r="D21" s="86">
        <f>'🏦 DEBT SCHEDULE'!D7</f>
        <v>30.787317697500004</v>
      </c>
      <c r="E21" s="86">
        <f>'🏦 DEBT SCHEDULE'!E7</f>
        <v>25.402333361363638</v>
      </c>
      <c r="F21" s="86">
        <f>'🏦 DEBT SCHEDULE'!F7</f>
        <v>20.017349025227276</v>
      </c>
      <c r="G21" s="86">
        <f>'🏦 DEBT SCHEDULE'!G7</f>
        <v>14.632364689090913</v>
      </c>
      <c r="H21" s="86">
        <f>'🏦 DEBT SCHEDULE'!H7</f>
        <v>9.2473803529545506</v>
      </c>
      <c r="I21" s="86">
        <f>'🏦 DEBT SCHEDULE'!I7</f>
        <v>3.8623960168181863</v>
      </c>
      <c r="J21" s="86">
        <f>'🏦 DEBT SCHEDULE'!J7</f>
        <v>0</v>
      </c>
      <c r="K21" s="86">
        <f>'🏦 DEBT SCHEDULE'!K7</f>
        <v>0</v>
      </c>
      <c r="L21" s="86">
        <f>'🏦 DEBT SCHEDULE'!L7</f>
        <v>0</v>
      </c>
      <c r="M21" s="86">
        <f>'🏦 DEBT SCHEDULE'!M7</f>
        <v>0</v>
      </c>
      <c r="N21" s="86">
        <f>'🏦 DEBT SCHEDULE'!N7</f>
        <v>0</v>
      </c>
      <c r="O21" s="86">
        <f>'🏦 DEBT SCHEDULE'!O7</f>
        <v>0</v>
      </c>
      <c r="P21" s="86">
        <f>'🏦 DEBT SCHEDULE'!P7</f>
        <v>0</v>
      </c>
      <c r="Q21" s="86">
        <f>'🏦 DEBT SCHEDULE'!Q7</f>
        <v>0</v>
      </c>
      <c r="R21" s="86">
        <f>'🏦 DEBT SCHEDULE'!R7</f>
        <v>0</v>
      </c>
      <c r="S21" s="86">
        <f>'🏦 DEBT SCHEDULE'!S7</f>
        <v>0</v>
      </c>
      <c r="T21" s="86">
        <f>'🏦 DEBT SCHEDULE'!T7</f>
        <v>0</v>
      </c>
      <c r="U21" s="86">
        <f>'🏦 DEBT SCHEDULE'!U7</f>
        <v>0</v>
      </c>
      <c r="V21" s="86">
        <f>'🏦 DEBT SCHEDULE'!V7</f>
        <v>0</v>
      </c>
    </row>
    <row r="22" spans="1:22" ht="15" customHeight="1" x14ac:dyDescent="0.25">
      <c r="A22" s="84" t="s">
        <v>268</v>
      </c>
      <c r="B22" s="33"/>
      <c r="C22" s="85">
        <f t="shared" ref="C22:V22" si="5">C19+C20-C21</f>
        <v>-49.4642909875</v>
      </c>
      <c r="D22" s="85">
        <f t="shared" si="5"/>
        <v>-22.835480987499999</v>
      </c>
      <c r="E22" s="85">
        <f t="shared" si="5"/>
        <v>-19.287072651363637</v>
      </c>
      <c r="F22" s="85">
        <f t="shared" si="5"/>
        <v>-15.758895295227278</v>
      </c>
      <c r="G22" s="85">
        <f t="shared" si="5"/>
        <v>-12.253392424490913</v>
      </c>
      <c r="H22" s="85">
        <f t="shared" si="5"/>
        <v>-8.773101080696561</v>
      </c>
      <c r="I22" s="85">
        <f t="shared" si="5"/>
        <v>-5.3206570911178588</v>
      </c>
      <c r="J22" s="85">
        <f t="shared" si="5"/>
        <v>-3.4213888886918102</v>
      </c>
      <c r="K22" s="85">
        <f t="shared" si="5"/>
        <v>-5.417954335300001</v>
      </c>
      <c r="L22" s="85">
        <f t="shared" si="5"/>
        <v>-7.4509236709051319</v>
      </c>
      <c r="M22" s="85">
        <f t="shared" si="5"/>
        <v>-13.836580005050346</v>
      </c>
      <c r="N22" s="85">
        <f t="shared" si="5"/>
        <v>-16.090488340802864</v>
      </c>
      <c r="O22" s="85">
        <f t="shared" si="5"/>
        <v>-32.671451133343005</v>
      </c>
      <c r="P22" s="85">
        <f t="shared" si="5"/>
        <v>-34.729815490210164</v>
      </c>
      <c r="Q22" s="85">
        <f t="shared" si="5"/>
        <v>-36.844437765626658</v>
      </c>
      <c r="R22" s="85">
        <f t="shared" si="5"/>
        <v>-39.01906406150588</v>
      </c>
      <c r="S22" s="85">
        <f t="shared" si="5"/>
        <v>-41.257609120737094</v>
      </c>
      <c r="T22" s="85">
        <f t="shared" si="5"/>
        <v>-43.564165132516756</v>
      </c>
      <c r="U22" s="85">
        <f t="shared" si="5"/>
        <v>-45.94301097048055</v>
      </c>
      <c r="V22" s="85">
        <f t="shared" si="5"/>
        <v>-48.398621885425754</v>
      </c>
    </row>
    <row r="23" spans="1:22" ht="15" customHeight="1" x14ac:dyDescent="0.25">
      <c r="A23" s="42" t="s">
        <v>269</v>
      </c>
      <c r="B23" s="40"/>
      <c r="C23" s="90">
        <f>'📉 DEPRECIATION'!C11</f>
        <v>78.38186850000001</v>
      </c>
      <c r="D23" s="90">
        <f>'📉 DEPRECIATION'!D11</f>
        <v>66.624588225000011</v>
      </c>
      <c r="E23" s="90">
        <f>'📉 DEPRECIATION'!E11</f>
        <v>56.630899991250011</v>
      </c>
      <c r="F23" s="90">
        <f>'📉 DEPRECIATION'!F11</f>
        <v>48.136264992562509</v>
      </c>
      <c r="G23" s="90">
        <f>'📉 DEPRECIATION'!G11</f>
        <v>40.915825243678128</v>
      </c>
      <c r="H23" s="90">
        <f>'📉 DEPRECIATION'!H11</f>
        <v>34.778451457126415</v>
      </c>
      <c r="I23" s="90">
        <f>'📉 DEPRECIATION'!I11</f>
        <v>29.561683738557452</v>
      </c>
      <c r="J23" s="90">
        <f>'📉 DEPRECIATION'!J11</f>
        <v>25.127431177773833</v>
      </c>
      <c r="K23" s="90">
        <f>'📉 DEPRECIATION'!K11</f>
        <v>21.358316501107755</v>
      </c>
      <c r="L23" s="90">
        <f>'📉 DEPRECIATION'!L11</f>
        <v>18.154569025941594</v>
      </c>
      <c r="M23" s="90">
        <f>'📉 DEPRECIATION'!M11</f>
        <v>32.306383672050352</v>
      </c>
      <c r="N23" s="90">
        <f>'📉 DEPRECIATION'!N11</f>
        <v>27.460426121242801</v>
      </c>
      <c r="O23" s="90">
        <f>'📉 DEPRECIATION'!O11</f>
        <v>23.341362203056384</v>
      </c>
      <c r="P23" s="90">
        <f>'📉 DEPRECIATION'!P11</f>
        <v>19.840157872597928</v>
      </c>
      <c r="Q23" s="90">
        <f>'📉 DEPRECIATION'!Q11</f>
        <v>16.864134191708239</v>
      </c>
      <c r="R23" s="90">
        <f>'📉 DEPRECIATION'!R11</f>
        <v>14.334514062952001</v>
      </c>
      <c r="S23" s="90">
        <f>'📉 DEPRECIATION'!S11</f>
        <v>12.184336953509202</v>
      </c>
      <c r="T23" s="90">
        <f>'📉 DEPRECIATION'!T11</f>
        <v>10.356686410482821</v>
      </c>
      <c r="U23" s="90">
        <f>'📉 DEPRECIATION'!U11</f>
        <v>8.8031834489103975</v>
      </c>
      <c r="V23" s="90">
        <f>'📉 DEPRECIATION'!V11</f>
        <v>7.4827059315738387</v>
      </c>
    </row>
    <row r="24" spans="1:22" ht="15" customHeight="1" x14ac:dyDescent="0.25">
      <c r="A24" s="14" t="s">
        <v>270</v>
      </c>
      <c r="B24" s="33"/>
      <c r="C24" s="72">
        <f t="shared" ref="C24:V24" si="6">MAX(0,C15-C21-C23)</f>
        <v>0</v>
      </c>
      <c r="D24" s="72">
        <f t="shared" si="6"/>
        <v>0</v>
      </c>
      <c r="E24" s="72">
        <f t="shared" si="6"/>
        <v>0</v>
      </c>
      <c r="F24" s="72">
        <f t="shared" si="6"/>
        <v>0</v>
      </c>
      <c r="G24" s="72">
        <f t="shared" si="6"/>
        <v>0</v>
      </c>
      <c r="H24" s="72">
        <f t="shared" si="6"/>
        <v>0</v>
      </c>
      <c r="I24" s="72">
        <f t="shared" si="6"/>
        <v>0</v>
      </c>
      <c r="J24" s="72">
        <f t="shared" si="6"/>
        <v>0</v>
      </c>
      <c r="K24" s="72">
        <f t="shared" si="6"/>
        <v>0</v>
      </c>
      <c r="L24" s="72">
        <f t="shared" si="6"/>
        <v>0</v>
      </c>
      <c r="M24" s="72">
        <f t="shared" si="6"/>
        <v>0</v>
      </c>
      <c r="N24" s="72">
        <f t="shared" si="6"/>
        <v>0</v>
      </c>
      <c r="O24" s="72">
        <f t="shared" si="6"/>
        <v>0</v>
      </c>
      <c r="P24" s="72">
        <f t="shared" si="6"/>
        <v>0</v>
      </c>
      <c r="Q24" s="72">
        <f t="shared" si="6"/>
        <v>0</v>
      </c>
      <c r="R24" s="72">
        <f t="shared" si="6"/>
        <v>0</v>
      </c>
      <c r="S24" s="72">
        <f t="shared" si="6"/>
        <v>0</v>
      </c>
      <c r="T24" s="72">
        <f t="shared" si="6"/>
        <v>0</v>
      </c>
      <c r="U24" s="72">
        <f t="shared" si="6"/>
        <v>0</v>
      </c>
      <c r="V24" s="72">
        <f t="shared" si="6"/>
        <v>0</v>
      </c>
    </row>
    <row r="25" spans="1:22" ht="15" customHeight="1" x14ac:dyDescent="0.25">
      <c r="A25" s="68" t="s">
        <v>271</v>
      </c>
      <c r="B25" s="20"/>
      <c r="C25" s="69">
        <f>C24*'📋 ASSUMPTIONS'!$B$58</f>
        <v>0</v>
      </c>
      <c r="D25" s="69">
        <f>D24*'📋 ASSUMPTIONS'!$B$58</f>
        <v>0</v>
      </c>
      <c r="E25" s="69">
        <f>E24*'📋 ASSUMPTIONS'!$B$58</f>
        <v>0</v>
      </c>
      <c r="F25" s="69">
        <f>F24*'📋 ASSUMPTIONS'!$B$58</f>
        <v>0</v>
      </c>
      <c r="G25" s="69">
        <f>G24*'📋 ASSUMPTIONS'!$B$58</f>
        <v>0</v>
      </c>
      <c r="H25" s="69">
        <f>H24*'📋 ASSUMPTIONS'!$B$58</f>
        <v>0</v>
      </c>
      <c r="I25" s="69">
        <f>I24*'📋 ASSUMPTIONS'!$B$58</f>
        <v>0</v>
      </c>
      <c r="J25" s="69">
        <f>J24*'📋 ASSUMPTIONS'!$B$58</f>
        <v>0</v>
      </c>
      <c r="K25" s="69">
        <f>K24*'📋 ASSUMPTIONS'!$B$58</f>
        <v>0</v>
      </c>
      <c r="L25" s="69">
        <f>L24*'📋 ASSUMPTIONS'!$B$58</f>
        <v>0</v>
      </c>
      <c r="M25" s="69">
        <f>M24*'📋 ASSUMPTIONS'!$B$58</f>
        <v>0</v>
      </c>
      <c r="N25" s="69">
        <f>N24*'📋 ASSUMPTIONS'!$B$58</f>
        <v>0</v>
      </c>
      <c r="O25" s="69">
        <f>O24*'📋 ASSUMPTIONS'!$B$58</f>
        <v>0</v>
      </c>
      <c r="P25" s="69">
        <f>P24*'📋 ASSUMPTIONS'!$B$58</f>
        <v>0</v>
      </c>
      <c r="Q25" s="69">
        <f>Q24*'📋 ASSUMPTIONS'!$B$58</f>
        <v>0</v>
      </c>
      <c r="R25" s="69">
        <f>R24*'📋 ASSUMPTIONS'!$B$58</f>
        <v>0</v>
      </c>
      <c r="S25" s="69">
        <f>S24*'📋 ASSUMPTIONS'!$B$58</f>
        <v>0</v>
      </c>
      <c r="T25" s="69">
        <f>T24*'📋 ASSUMPTIONS'!$B$58</f>
        <v>0</v>
      </c>
      <c r="U25" s="69">
        <f>U24*'📋 ASSUMPTIONS'!$B$58</f>
        <v>0</v>
      </c>
      <c r="V25" s="69">
        <f>V24*'📋 ASSUMPTIONS'!$B$58</f>
        <v>0</v>
      </c>
    </row>
    <row r="26" spans="1:22" ht="15" customHeight="1" x14ac:dyDescent="0.25">
      <c r="A26" s="65" t="s">
        <v>272</v>
      </c>
      <c r="B26" s="66"/>
      <c r="C26" s="67">
        <f t="shared" ref="C26:V26" si="7">C22-C25</f>
        <v>-49.4642909875</v>
      </c>
      <c r="D26" s="67">
        <f t="shared" si="7"/>
        <v>-22.835480987499999</v>
      </c>
      <c r="E26" s="67">
        <f t="shared" si="7"/>
        <v>-19.287072651363637</v>
      </c>
      <c r="F26" s="67">
        <f t="shared" si="7"/>
        <v>-15.758895295227278</v>
      </c>
      <c r="G26" s="67">
        <f t="shared" si="7"/>
        <v>-12.253392424490913</v>
      </c>
      <c r="H26" s="67">
        <f t="shared" si="7"/>
        <v>-8.773101080696561</v>
      </c>
      <c r="I26" s="67">
        <f t="shared" si="7"/>
        <v>-5.3206570911178588</v>
      </c>
      <c r="J26" s="67">
        <f t="shared" si="7"/>
        <v>-3.4213888886918102</v>
      </c>
      <c r="K26" s="67">
        <f t="shared" si="7"/>
        <v>-5.417954335300001</v>
      </c>
      <c r="L26" s="67">
        <f t="shared" si="7"/>
        <v>-7.4509236709051319</v>
      </c>
      <c r="M26" s="67">
        <f t="shared" si="7"/>
        <v>-13.836580005050346</v>
      </c>
      <c r="N26" s="67">
        <f t="shared" si="7"/>
        <v>-16.090488340802864</v>
      </c>
      <c r="O26" s="67">
        <f t="shared" si="7"/>
        <v>-32.671451133343005</v>
      </c>
      <c r="P26" s="67">
        <f t="shared" si="7"/>
        <v>-34.729815490210164</v>
      </c>
      <c r="Q26" s="67">
        <f t="shared" si="7"/>
        <v>-36.844437765626658</v>
      </c>
      <c r="R26" s="67">
        <f t="shared" si="7"/>
        <v>-39.01906406150588</v>
      </c>
      <c r="S26" s="67">
        <f t="shared" si="7"/>
        <v>-41.257609120737094</v>
      </c>
      <c r="T26" s="67">
        <f t="shared" si="7"/>
        <v>-43.564165132516756</v>
      </c>
      <c r="U26" s="67">
        <f t="shared" si="7"/>
        <v>-45.94301097048055</v>
      </c>
      <c r="V26" s="67">
        <f t="shared" si="7"/>
        <v>-48.398621885425754</v>
      </c>
    </row>
    <row r="27" spans="1:22" ht="15" customHeight="1" x14ac:dyDescent="0.25">
      <c r="A27" s="88" t="s">
        <v>273</v>
      </c>
      <c r="B27" s="33"/>
      <c r="C27" s="89">
        <f t="shared" ref="C27:V27" si="8">IFERROR(C26/C7,0)</f>
        <v>-0.94786415612723962</v>
      </c>
      <c r="D27" s="89">
        <f t="shared" si="8"/>
        <v>-0.4465174132745941</v>
      </c>
      <c r="E27" s="89">
        <f t="shared" si="8"/>
        <v>-0.38482960697014912</v>
      </c>
      <c r="F27" s="89">
        <f t="shared" si="8"/>
        <v>-0.32084986073784172</v>
      </c>
      <c r="G27" s="89">
        <f t="shared" si="8"/>
        <v>-0.25456948957652781</v>
      </c>
      <c r="H27" s="89">
        <f t="shared" si="8"/>
        <v>-0.18598463507387497</v>
      </c>
      <c r="I27" s="89">
        <f t="shared" si="8"/>
        <v>-0.11509676792018839</v>
      </c>
      <c r="J27" s="89">
        <f t="shared" si="8"/>
        <v>-7.5522128752659873E-2</v>
      </c>
      <c r="K27" s="89">
        <f t="shared" si="8"/>
        <v>-0.12203405627169182</v>
      </c>
      <c r="L27" s="89">
        <f t="shared" si="8"/>
        <v>-0.17124967082417333</v>
      </c>
      <c r="M27" s="89">
        <f t="shared" si="8"/>
        <v>-0.27909976157799621</v>
      </c>
      <c r="N27" s="89">
        <f t="shared" si="8"/>
        <v>-0.33118743849322446</v>
      </c>
      <c r="O27" s="89">
        <f t="shared" si="8"/>
        <v>-0.98027728666030811</v>
      </c>
      <c r="P27" s="89">
        <f t="shared" si="8"/>
        <v>-1.0633026980015854</v>
      </c>
      <c r="Q27" s="89">
        <f t="shared" si="8"/>
        <v>-1.151066190433008</v>
      </c>
      <c r="R27" s="89">
        <f t="shared" si="8"/>
        <v>-1.243881865554195</v>
      </c>
      <c r="S27" s="89">
        <f t="shared" si="8"/>
        <v>-1.3420857642062882</v>
      </c>
      <c r="T27" s="89">
        <f t="shared" si="8"/>
        <v>-1.4460374234262059</v>
      </c>
      <c r="U27" s="89">
        <f t="shared" si="8"/>
        <v>-1.5561215444050871</v>
      </c>
      <c r="V27" s="89">
        <f t="shared" si="8"/>
        <v>-1.6727497793755757</v>
      </c>
    </row>
    <row r="28" spans="1:22" ht="15" customHeight="1" x14ac:dyDescent="0.25">
      <c r="A28" s="159"/>
      <c r="B28" s="159"/>
      <c r="C28" s="159"/>
      <c r="D28" s="159"/>
      <c r="E28" s="159"/>
      <c r="F28" s="159"/>
      <c r="G28" s="159"/>
      <c r="H28" s="159"/>
      <c r="I28" s="159"/>
      <c r="J28" s="159"/>
      <c r="K28" s="159"/>
      <c r="L28" s="159"/>
      <c r="M28" s="159"/>
      <c r="N28" s="159"/>
      <c r="O28" s="159"/>
      <c r="P28" s="159"/>
      <c r="Q28" s="159"/>
      <c r="R28" s="159"/>
      <c r="S28" s="159"/>
      <c r="T28" s="159"/>
      <c r="U28" s="159"/>
      <c r="V28" s="159"/>
    </row>
    <row r="29" spans="1:22" ht="36.75" customHeight="1" x14ac:dyDescent="0.25">
      <c r="A29" s="27" t="s">
        <v>274</v>
      </c>
    </row>
  </sheetData>
  <mergeCells count="3">
    <mergeCell ref="A4:V4"/>
    <mergeCell ref="A9:V9"/>
    <mergeCell ref="A28:V28"/>
  </mergeCell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C3483"/>
  </sheetPr>
  <dimension ref="A1:V31"/>
  <sheetViews>
    <sheetView zoomScaleNormal="10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34" customWidth="1"/>
    <col min="2" max="2" width="11" customWidth="1"/>
    <col min="3" max="22" width="10.5703125" customWidth="1"/>
  </cols>
  <sheetData>
    <row r="1" spans="1:22" ht="30" customHeight="1" x14ac:dyDescent="0.25">
      <c r="A1" s="3" t="s">
        <v>275</v>
      </c>
    </row>
    <row r="2" spans="1:22" ht="15" customHeight="1" x14ac:dyDescent="0.25">
      <c r="A2" s="2" t="s">
        <v>276</v>
      </c>
    </row>
    <row r="3" spans="1:22" ht="18" customHeight="1" x14ac:dyDescent="0.25">
      <c r="A3" s="57" t="s">
        <v>191</v>
      </c>
      <c r="B3" s="58" t="s">
        <v>192</v>
      </c>
      <c r="C3" s="58" t="s">
        <v>193</v>
      </c>
      <c r="D3" s="58" t="s">
        <v>194</v>
      </c>
      <c r="E3" s="58" t="s">
        <v>195</v>
      </c>
      <c r="F3" s="58" t="s">
        <v>196</v>
      </c>
      <c r="G3" s="58" t="s">
        <v>197</v>
      </c>
      <c r="H3" s="58" t="s">
        <v>198</v>
      </c>
      <c r="I3" s="58" t="s">
        <v>199</v>
      </c>
      <c r="J3" s="58" t="s">
        <v>200</v>
      </c>
      <c r="K3" s="58" t="s">
        <v>201</v>
      </c>
      <c r="L3" s="58" t="s">
        <v>202</v>
      </c>
      <c r="M3" s="58" t="s">
        <v>203</v>
      </c>
      <c r="N3" s="58" t="s">
        <v>204</v>
      </c>
      <c r="O3" s="58" t="s">
        <v>205</v>
      </c>
      <c r="P3" s="58" t="s">
        <v>206</v>
      </c>
      <c r="Q3" s="58" t="s">
        <v>207</v>
      </c>
      <c r="R3" s="58" t="s">
        <v>208</v>
      </c>
      <c r="S3" s="58" t="s">
        <v>209</v>
      </c>
      <c r="T3" s="58" t="s">
        <v>210</v>
      </c>
      <c r="U3" s="58" t="s">
        <v>211</v>
      </c>
      <c r="V3" s="58" t="s">
        <v>212</v>
      </c>
    </row>
    <row r="4" spans="1:22" ht="19.5" customHeight="1" x14ac:dyDescent="0.25">
      <c r="A4" s="142" t="s">
        <v>277</v>
      </c>
      <c r="B4" s="142"/>
      <c r="C4" s="142"/>
      <c r="D4" s="142"/>
      <c r="E4" s="142"/>
      <c r="F4" s="142"/>
      <c r="G4" s="142"/>
      <c r="H4" s="142"/>
      <c r="I4" s="142"/>
      <c r="J4" s="142"/>
      <c r="K4" s="142"/>
      <c r="L4" s="142"/>
      <c r="M4" s="142"/>
      <c r="N4" s="142"/>
      <c r="O4" s="142"/>
      <c r="P4" s="142"/>
      <c r="Q4" s="142"/>
      <c r="R4" s="142"/>
      <c r="S4" s="142"/>
      <c r="T4" s="142"/>
      <c r="U4" s="142"/>
      <c r="V4" s="142"/>
    </row>
    <row r="5" spans="1:22" ht="19.5" customHeight="1" x14ac:dyDescent="0.25">
      <c r="A5" s="160" t="s">
        <v>278</v>
      </c>
      <c r="B5" s="160"/>
      <c r="C5" s="160"/>
      <c r="D5" s="160"/>
      <c r="E5" s="160"/>
      <c r="F5" s="160"/>
      <c r="G5" s="160"/>
      <c r="H5" s="160"/>
      <c r="I5" s="160"/>
      <c r="J5" s="160"/>
      <c r="K5" s="160"/>
      <c r="L5" s="160"/>
      <c r="M5" s="160"/>
      <c r="N5" s="160"/>
      <c r="O5" s="160"/>
      <c r="P5" s="160"/>
      <c r="Q5" s="160"/>
      <c r="R5" s="160"/>
      <c r="S5" s="160"/>
      <c r="T5" s="160"/>
      <c r="U5" s="160"/>
      <c r="V5" s="160"/>
    </row>
    <row r="6" spans="1:22" ht="15" customHeight="1" x14ac:dyDescent="0.25">
      <c r="A6" s="14" t="s">
        <v>279</v>
      </c>
      <c r="B6" s="81">
        <f>'💰 CAPEX &amp; MOF'!$B$17</f>
        <v>787.17379000000005</v>
      </c>
      <c r="C6" s="81">
        <f>'📉 DEPRECIATION'!C5</f>
        <v>787.17379000000005</v>
      </c>
      <c r="D6" s="81">
        <f>'📉 DEPRECIATION'!D5</f>
        <v>787.17379000000005</v>
      </c>
      <c r="E6" s="81">
        <f>'📉 DEPRECIATION'!E5</f>
        <v>787.17379000000005</v>
      </c>
      <c r="F6" s="81">
        <f>'📉 DEPRECIATION'!F5</f>
        <v>787.17379000000005</v>
      </c>
      <c r="G6" s="81">
        <f>'📉 DEPRECIATION'!G5</f>
        <v>787.17379000000005</v>
      </c>
      <c r="H6" s="81">
        <f>'📉 DEPRECIATION'!H5</f>
        <v>787.17379000000005</v>
      </c>
      <c r="I6" s="81">
        <f>'📉 DEPRECIATION'!I5</f>
        <v>787.17379000000005</v>
      </c>
      <c r="J6" s="81">
        <f>'📉 DEPRECIATION'!J5</f>
        <v>787.17379000000005</v>
      </c>
      <c r="K6" s="81">
        <f>'📉 DEPRECIATION'!K5</f>
        <v>787.17379000000005</v>
      </c>
      <c r="L6" s="81">
        <f>'📉 DEPRECIATION'!L5</f>
        <v>787.17379000000005</v>
      </c>
      <c r="M6" s="81">
        <f>'📉 DEPRECIATION'!M5</f>
        <v>899.67379000000005</v>
      </c>
      <c r="N6" s="81">
        <f>'📉 DEPRECIATION'!N5</f>
        <v>899.67379000000005</v>
      </c>
      <c r="O6" s="81">
        <f>'📉 DEPRECIATION'!O5</f>
        <v>899.67379000000005</v>
      </c>
      <c r="P6" s="81">
        <f>'📉 DEPRECIATION'!P5</f>
        <v>899.67379000000005</v>
      </c>
      <c r="Q6" s="81">
        <f>'📉 DEPRECIATION'!Q5</f>
        <v>899.67379000000005</v>
      </c>
      <c r="R6" s="81">
        <f>'📉 DEPRECIATION'!R5</f>
        <v>899.67379000000005</v>
      </c>
      <c r="S6" s="81">
        <f>'📉 DEPRECIATION'!S5</f>
        <v>899.67379000000005</v>
      </c>
      <c r="T6" s="81">
        <f>'📉 DEPRECIATION'!T5</f>
        <v>899.67379000000005</v>
      </c>
      <c r="U6" s="81">
        <f>'📉 DEPRECIATION'!U5</f>
        <v>899.67379000000005</v>
      </c>
      <c r="V6" s="81">
        <f>'📉 DEPRECIATION'!V5</f>
        <v>899.67379000000005</v>
      </c>
    </row>
    <row r="7" spans="1:22" ht="15" customHeight="1" x14ac:dyDescent="0.25">
      <c r="A7" s="68" t="s">
        <v>280</v>
      </c>
      <c r="B7" s="69">
        <v>0</v>
      </c>
      <c r="C7" s="69">
        <f>C6-'📉 DEPRECIATION'!C7</f>
        <v>37.390755024999976</v>
      </c>
      <c r="D7" s="69">
        <f>D6-'📉 DEPRECIATION'!D7</f>
        <v>74.781510049999952</v>
      </c>
      <c r="E7" s="69">
        <f>E6-'📉 DEPRECIATION'!E7</f>
        <v>112.17226507499993</v>
      </c>
      <c r="F7" s="69">
        <f>F6-'📉 DEPRECIATION'!F7</f>
        <v>149.5630200999999</v>
      </c>
      <c r="G7" s="69">
        <f>G6-'📉 DEPRECIATION'!G7</f>
        <v>186.95377512499988</v>
      </c>
      <c r="H7" s="69">
        <f>H6-'📉 DEPRECIATION'!H7</f>
        <v>224.34453014999985</v>
      </c>
      <c r="I7" s="69">
        <f>I6-'📉 DEPRECIATION'!I7</f>
        <v>261.73528517499983</v>
      </c>
      <c r="J7" s="69">
        <f>J6-'📉 DEPRECIATION'!J7</f>
        <v>299.12604019999981</v>
      </c>
      <c r="K7" s="69">
        <f>K6-'📉 DEPRECIATION'!K7</f>
        <v>336.51679522499978</v>
      </c>
      <c r="L7" s="69">
        <f>L6-'📉 DEPRECIATION'!L7</f>
        <v>373.90755024999976</v>
      </c>
      <c r="M7" s="69">
        <f>M6-'📉 DEPRECIATION'!M7</f>
        <v>422.54830527499973</v>
      </c>
      <c r="N7" s="69">
        <f>N6-'📉 DEPRECIATION'!N7</f>
        <v>471.18906029999971</v>
      </c>
      <c r="O7" s="69">
        <f>O6-'📉 DEPRECIATION'!O7</f>
        <v>519.82981532499969</v>
      </c>
      <c r="P7" s="69">
        <f>P6-'📉 DEPRECIATION'!P7</f>
        <v>568.47057034999966</v>
      </c>
      <c r="Q7" s="69">
        <f>Q6-'📉 DEPRECIATION'!Q7</f>
        <v>617.11132537499964</v>
      </c>
      <c r="R7" s="69">
        <f>R6-'📉 DEPRECIATION'!R7</f>
        <v>665.75208039999961</v>
      </c>
      <c r="S7" s="69">
        <f>S6-'📉 DEPRECIATION'!S7</f>
        <v>714.3928354249997</v>
      </c>
      <c r="T7" s="69">
        <f>T6-'📉 DEPRECIATION'!T7</f>
        <v>763.03359044999968</v>
      </c>
      <c r="U7" s="69">
        <f>U6-'📉 DEPRECIATION'!U7</f>
        <v>811.67434547499965</v>
      </c>
      <c r="V7" s="69">
        <f>V6-'📉 DEPRECIATION'!V7</f>
        <v>860.31510049999963</v>
      </c>
    </row>
    <row r="8" spans="1:22" ht="15" customHeight="1" x14ac:dyDescent="0.25">
      <c r="A8" s="74" t="s">
        <v>281</v>
      </c>
      <c r="B8" s="64">
        <f>B6-B7</f>
        <v>787.17379000000005</v>
      </c>
      <c r="C8" s="64">
        <f>'📉 DEPRECIATION'!C7</f>
        <v>749.78303497500008</v>
      </c>
      <c r="D8" s="64">
        <f>'📉 DEPRECIATION'!D7</f>
        <v>712.3922799500001</v>
      </c>
      <c r="E8" s="64">
        <f>'📉 DEPRECIATION'!E7</f>
        <v>675.00152492500013</v>
      </c>
      <c r="F8" s="64">
        <f>'📉 DEPRECIATION'!F7</f>
        <v>637.61076990000015</v>
      </c>
      <c r="G8" s="64">
        <f>'📉 DEPRECIATION'!G7</f>
        <v>600.22001487500017</v>
      </c>
      <c r="H8" s="64">
        <f>'📉 DEPRECIATION'!H7</f>
        <v>562.8292598500002</v>
      </c>
      <c r="I8" s="64">
        <f>'📉 DEPRECIATION'!I7</f>
        <v>525.43850482500022</v>
      </c>
      <c r="J8" s="64">
        <f>'📉 DEPRECIATION'!J7</f>
        <v>488.04774980000025</v>
      </c>
      <c r="K8" s="64">
        <f>'📉 DEPRECIATION'!K7</f>
        <v>450.65699477500027</v>
      </c>
      <c r="L8" s="64">
        <f>'📉 DEPRECIATION'!L7</f>
        <v>413.2662397500003</v>
      </c>
      <c r="M8" s="64">
        <f>'📉 DEPRECIATION'!M7</f>
        <v>477.12548472500032</v>
      </c>
      <c r="N8" s="64">
        <f>'📉 DEPRECIATION'!N7</f>
        <v>428.48472970000034</v>
      </c>
      <c r="O8" s="64">
        <f>'📉 DEPRECIATION'!O7</f>
        <v>379.84397467500037</v>
      </c>
      <c r="P8" s="64">
        <f>'📉 DEPRECIATION'!P7</f>
        <v>331.20321965000039</v>
      </c>
      <c r="Q8" s="64">
        <f>'📉 DEPRECIATION'!Q7</f>
        <v>282.56246462500042</v>
      </c>
      <c r="R8" s="64">
        <f>'📉 DEPRECIATION'!R7</f>
        <v>233.92170960000041</v>
      </c>
      <c r="S8" s="64">
        <f>'📉 DEPRECIATION'!S7</f>
        <v>185.28095457500041</v>
      </c>
      <c r="T8" s="64">
        <f>'📉 DEPRECIATION'!T7</f>
        <v>136.6401995500004</v>
      </c>
      <c r="U8" s="64">
        <f>'📉 DEPRECIATION'!U7</f>
        <v>87.999444525000399</v>
      </c>
      <c r="V8" s="64">
        <f>'📉 DEPRECIATION'!V7</f>
        <v>39.358689500000402</v>
      </c>
    </row>
    <row r="9" spans="1:22" ht="15" customHeight="1" x14ac:dyDescent="0.25">
      <c r="A9" s="91" t="s">
        <v>282</v>
      </c>
      <c r="B9" s="92">
        <f t="shared" ref="B9:V9" si="0">B8</f>
        <v>787.17379000000005</v>
      </c>
      <c r="C9" s="92">
        <f t="shared" si="0"/>
        <v>749.78303497500008</v>
      </c>
      <c r="D9" s="92">
        <f t="shared" si="0"/>
        <v>712.3922799500001</v>
      </c>
      <c r="E9" s="92">
        <f t="shared" si="0"/>
        <v>675.00152492500013</v>
      </c>
      <c r="F9" s="92">
        <f t="shared" si="0"/>
        <v>637.61076990000015</v>
      </c>
      <c r="G9" s="92">
        <f t="shared" si="0"/>
        <v>600.22001487500017</v>
      </c>
      <c r="H9" s="92">
        <f t="shared" si="0"/>
        <v>562.8292598500002</v>
      </c>
      <c r="I9" s="92">
        <f t="shared" si="0"/>
        <v>525.43850482500022</v>
      </c>
      <c r="J9" s="92">
        <f t="shared" si="0"/>
        <v>488.04774980000025</v>
      </c>
      <c r="K9" s="92">
        <f t="shared" si="0"/>
        <v>450.65699477500027</v>
      </c>
      <c r="L9" s="92">
        <f t="shared" si="0"/>
        <v>413.2662397500003</v>
      </c>
      <c r="M9" s="92">
        <f t="shared" si="0"/>
        <v>477.12548472500032</v>
      </c>
      <c r="N9" s="92">
        <f t="shared" si="0"/>
        <v>428.48472970000034</v>
      </c>
      <c r="O9" s="92">
        <f t="shared" si="0"/>
        <v>379.84397467500037</v>
      </c>
      <c r="P9" s="92">
        <f t="shared" si="0"/>
        <v>331.20321965000039</v>
      </c>
      <c r="Q9" s="92">
        <f t="shared" si="0"/>
        <v>282.56246462500042</v>
      </c>
      <c r="R9" s="92">
        <f t="shared" si="0"/>
        <v>233.92170960000041</v>
      </c>
      <c r="S9" s="92">
        <f t="shared" si="0"/>
        <v>185.28095457500041</v>
      </c>
      <c r="T9" s="92">
        <f t="shared" si="0"/>
        <v>136.6401995500004</v>
      </c>
      <c r="U9" s="92">
        <f t="shared" si="0"/>
        <v>87.999444525000399</v>
      </c>
      <c r="V9" s="92">
        <f t="shared" si="0"/>
        <v>39.358689500000402</v>
      </c>
    </row>
    <row r="10" spans="1:22" ht="19.5" customHeight="1" x14ac:dyDescent="0.25">
      <c r="A10" s="1"/>
    </row>
    <row r="11" spans="1:22" ht="19.5" customHeight="1" x14ac:dyDescent="0.25">
      <c r="A11" s="160" t="s">
        <v>283</v>
      </c>
      <c r="B11" s="160"/>
      <c r="C11" s="160"/>
      <c r="D11" s="160"/>
      <c r="E11" s="160"/>
      <c r="F11" s="160"/>
      <c r="G11" s="160"/>
      <c r="H11" s="160"/>
      <c r="I11" s="160"/>
      <c r="J11" s="160"/>
      <c r="K11" s="160"/>
      <c r="L11" s="160"/>
      <c r="M11" s="160"/>
      <c r="N11" s="160"/>
      <c r="O11" s="160"/>
      <c r="P11" s="160"/>
      <c r="Q11" s="160"/>
      <c r="R11" s="160"/>
      <c r="S11" s="160"/>
      <c r="T11" s="160"/>
      <c r="U11" s="160"/>
      <c r="V11" s="160"/>
    </row>
    <row r="12" spans="1:22" ht="15" customHeight="1" x14ac:dyDescent="0.25">
      <c r="A12" s="42" t="s">
        <v>284</v>
      </c>
      <c r="B12" s="73">
        <v>0</v>
      </c>
      <c r="C12" s="90">
        <f>'🏦 DEBT SCHEDULE'!C13</f>
        <v>40.440097621477278</v>
      </c>
      <c r="D12" s="90">
        <f>'🏦 DEBT SCHEDULE'!D13</f>
        <v>37.747605453409093</v>
      </c>
      <c r="E12" s="90">
        <f>'🏦 DEBT SCHEDULE'!E13</f>
        <v>35.055113285340909</v>
      </c>
      <c r="F12" s="90">
        <f>'🏦 DEBT SCHEDULE'!F13</f>
        <v>32.362621117272731</v>
      </c>
      <c r="G12" s="90">
        <f>'🏦 DEBT SCHEDULE'!G13</f>
        <v>29.67012894920455</v>
      </c>
      <c r="H12" s="90">
        <f>'🏦 DEBT SCHEDULE'!H13</f>
        <v>19.895830644772751</v>
      </c>
      <c r="I12" s="90">
        <f>'🏦 DEBT SCHEDULE'!I13</f>
        <v>0</v>
      </c>
      <c r="J12" s="90">
        <f>'🏦 DEBT SCHEDULE'!J13</f>
        <v>0</v>
      </c>
      <c r="K12" s="90">
        <f>'🏦 DEBT SCHEDULE'!K13</f>
        <v>0</v>
      </c>
      <c r="L12" s="90">
        <f>'🏦 DEBT SCHEDULE'!L13</f>
        <v>0</v>
      </c>
      <c r="M12" s="90">
        <f>'🏦 DEBT SCHEDULE'!M13</f>
        <v>0</v>
      </c>
      <c r="N12" s="90">
        <f>'🏦 DEBT SCHEDULE'!N13</f>
        <v>0</v>
      </c>
      <c r="O12" s="90">
        <f>'🏦 DEBT SCHEDULE'!O13</f>
        <v>0</v>
      </c>
      <c r="P12" s="90">
        <f>'🏦 DEBT SCHEDULE'!P13</f>
        <v>0</v>
      </c>
      <c r="Q12" s="90">
        <f>'🏦 DEBT SCHEDULE'!Q13</f>
        <v>0</v>
      </c>
      <c r="R12" s="90">
        <f>'🏦 DEBT SCHEDULE'!R13</f>
        <v>0</v>
      </c>
      <c r="S12" s="90">
        <f>'🏦 DEBT SCHEDULE'!S13</f>
        <v>0</v>
      </c>
      <c r="T12" s="90">
        <f>'🏦 DEBT SCHEDULE'!T13</f>
        <v>0</v>
      </c>
      <c r="U12" s="90">
        <f>'🏦 DEBT SCHEDULE'!U13</f>
        <v>0</v>
      </c>
      <c r="V12" s="90">
        <f>'🏦 DEBT SCHEDULE'!V13</f>
        <v>0</v>
      </c>
    </row>
    <row r="13" spans="1:22" ht="21.75" customHeight="1" x14ac:dyDescent="0.25">
      <c r="A13" s="74" t="s">
        <v>285</v>
      </c>
      <c r="B13" s="75">
        <f>'💵 CASH FLOW'!B22</f>
        <v>0</v>
      </c>
      <c r="C13" s="75">
        <f>'💵 CASH FLOW'!C22</f>
        <v>-65.745033583977261</v>
      </c>
      <c r="D13" s="75">
        <f>'💵 CASH FLOW'!D22</f>
        <v>-111.82154492386363</v>
      </c>
      <c r="E13" s="75">
        <f>'💵 CASH FLOW'!E22</f>
        <v>-154.34964792761363</v>
      </c>
      <c r="F13" s="75">
        <f>'💵 CASH FLOW'!F22</f>
        <v>-193.34957357522728</v>
      </c>
      <c r="G13" s="75">
        <f>'💵 CASH FLOW'!G22</f>
        <v>-228.84399635210457</v>
      </c>
      <c r="H13" s="75">
        <f>'💵 CASH FLOW'!H22</f>
        <v>-253.77632164882388</v>
      </c>
      <c r="I13" s="75">
        <f>'💵 CASH FLOW'!I22</f>
        <v>-250.9710583428963</v>
      </c>
      <c r="J13" s="75">
        <f>'💵 CASH FLOW'!J22</f>
        <v>-230.23309220658811</v>
      </c>
      <c r="K13" s="75">
        <f>'💵 CASH FLOW'!K22</f>
        <v>-211.49169151688812</v>
      </c>
      <c r="L13" s="75">
        <f>'💵 CASH FLOW'!L22</f>
        <v>-194.78326016279325</v>
      </c>
      <c r="M13" s="75">
        <f>'💵 CASH FLOW'!M22</f>
        <v>-285.71048514284359</v>
      </c>
      <c r="N13" s="75">
        <f>'💵 CASH FLOW'!N22</f>
        <v>-266.39161845864646</v>
      </c>
      <c r="O13" s="75">
        <f>'💵 CASH FLOW'!O22</f>
        <v>-263.65371456698949</v>
      </c>
      <c r="P13" s="75">
        <f>'💵 CASH FLOW'!P22</f>
        <v>-262.97417503219964</v>
      </c>
      <c r="Q13" s="75">
        <f>'💵 CASH FLOW'!Q22</f>
        <v>-264.40925777282632</v>
      </c>
      <c r="R13" s="75">
        <f>'💵 CASH FLOW'!R22</f>
        <v>-268.0189668093322</v>
      </c>
      <c r="S13" s="75">
        <f>'💵 CASH FLOW'!S22</f>
        <v>-273.8672209050693</v>
      </c>
      <c r="T13" s="75">
        <f>'💵 CASH FLOW'!T22</f>
        <v>-282.02203101258607</v>
      </c>
      <c r="U13" s="75">
        <f>'💵 CASH FLOW'!U22</f>
        <v>-292.55568695806664</v>
      </c>
      <c r="V13" s="75">
        <f>'💵 CASH FLOW'!V22</f>
        <v>-305.54495381849239</v>
      </c>
    </row>
    <row r="14" spans="1:22" ht="15" customHeight="1" x14ac:dyDescent="0.25">
      <c r="A14" s="91" t="s">
        <v>286</v>
      </c>
      <c r="B14" s="92">
        <f t="shared" ref="B14:V14" si="1">B12+B13</f>
        <v>0</v>
      </c>
      <c r="C14" s="92">
        <f t="shared" si="1"/>
        <v>-25.304935962499982</v>
      </c>
      <c r="D14" s="92">
        <f t="shared" si="1"/>
        <v>-74.073939470454533</v>
      </c>
      <c r="E14" s="92">
        <f t="shared" si="1"/>
        <v>-119.29453464227272</v>
      </c>
      <c r="F14" s="92">
        <f t="shared" si="1"/>
        <v>-160.98695245795454</v>
      </c>
      <c r="G14" s="92">
        <f t="shared" si="1"/>
        <v>-199.17386740290002</v>
      </c>
      <c r="H14" s="92">
        <f t="shared" si="1"/>
        <v>-233.88049100405112</v>
      </c>
      <c r="I14" s="92">
        <f t="shared" si="1"/>
        <v>-250.9710583428963</v>
      </c>
      <c r="J14" s="92">
        <f t="shared" si="1"/>
        <v>-230.23309220658811</v>
      </c>
      <c r="K14" s="92">
        <f t="shared" si="1"/>
        <v>-211.49169151688812</v>
      </c>
      <c r="L14" s="92">
        <f t="shared" si="1"/>
        <v>-194.78326016279325</v>
      </c>
      <c r="M14" s="92">
        <f t="shared" si="1"/>
        <v>-285.71048514284359</v>
      </c>
      <c r="N14" s="92">
        <f t="shared" si="1"/>
        <v>-266.39161845864646</v>
      </c>
      <c r="O14" s="92">
        <f t="shared" si="1"/>
        <v>-263.65371456698949</v>
      </c>
      <c r="P14" s="92">
        <f t="shared" si="1"/>
        <v>-262.97417503219964</v>
      </c>
      <c r="Q14" s="92">
        <f t="shared" si="1"/>
        <v>-264.40925777282632</v>
      </c>
      <c r="R14" s="92">
        <f t="shared" si="1"/>
        <v>-268.0189668093322</v>
      </c>
      <c r="S14" s="92">
        <f t="shared" si="1"/>
        <v>-273.8672209050693</v>
      </c>
      <c r="T14" s="92">
        <f t="shared" si="1"/>
        <v>-282.02203101258607</v>
      </c>
      <c r="U14" s="92">
        <f t="shared" si="1"/>
        <v>-292.55568695806664</v>
      </c>
      <c r="V14" s="92">
        <f t="shared" si="1"/>
        <v>-305.54495381849239</v>
      </c>
    </row>
    <row r="15" spans="1:22" ht="21.75" customHeight="1" x14ac:dyDescent="0.25">
      <c r="A15" s="93" t="s">
        <v>287</v>
      </c>
      <c r="B15" s="94">
        <f t="shared" ref="B15:V15" si="2">B9+B14</f>
        <v>787.17379000000005</v>
      </c>
      <c r="C15" s="94">
        <f t="shared" si="2"/>
        <v>724.47809901250014</v>
      </c>
      <c r="D15" s="94">
        <f t="shared" si="2"/>
        <v>638.31834047954555</v>
      </c>
      <c r="E15" s="94">
        <f t="shared" si="2"/>
        <v>555.70699028272736</v>
      </c>
      <c r="F15" s="94">
        <f t="shared" si="2"/>
        <v>476.62381744204561</v>
      </c>
      <c r="G15" s="94">
        <f t="shared" si="2"/>
        <v>401.04614747210019</v>
      </c>
      <c r="H15" s="94">
        <f t="shared" si="2"/>
        <v>328.94876884594908</v>
      </c>
      <c r="I15" s="94">
        <f t="shared" si="2"/>
        <v>274.46744648210392</v>
      </c>
      <c r="J15" s="94">
        <f t="shared" si="2"/>
        <v>257.81465759341211</v>
      </c>
      <c r="K15" s="94">
        <f t="shared" si="2"/>
        <v>239.16530325811215</v>
      </c>
      <c r="L15" s="94">
        <f t="shared" si="2"/>
        <v>218.48297958720704</v>
      </c>
      <c r="M15" s="94">
        <f t="shared" si="2"/>
        <v>191.41499958215672</v>
      </c>
      <c r="N15" s="94">
        <f t="shared" si="2"/>
        <v>162.09311124135388</v>
      </c>
      <c r="O15" s="94">
        <f t="shared" si="2"/>
        <v>116.19026010801088</v>
      </c>
      <c r="P15" s="94">
        <f t="shared" si="2"/>
        <v>68.229044617800753</v>
      </c>
      <c r="Q15" s="94">
        <f t="shared" si="2"/>
        <v>18.153206852174094</v>
      </c>
      <c r="R15" s="94">
        <f t="shared" si="2"/>
        <v>-34.097257209331786</v>
      </c>
      <c r="S15" s="94">
        <f t="shared" si="2"/>
        <v>-88.586266330068895</v>
      </c>
      <c r="T15" s="94">
        <f t="shared" si="2"/>
        <v>-145.38183146258567</v>
      </c>
      <c r="U15" s="94">
        <f t="shared" si="2"/>
        <v>-204.55624243306625</v>
      </c>
      <c r="V15" s="94">
        <f t="shared" si="2"/>
        <v>-266.18626431849196</v>
      </c>
    </row>
    <row r="17" spans="1:22" ht="19.5" customHeight="1" x14ac:dyDescent="0.25">
      <c r="A17" s="143" t="s">
        <v>288</v>
      </c>
      <c r="B17" s="143"/>
      <c r="C17" s="143"/>
      <c r="D17" s="143"/>
      <c r="E17" s="143"/>
      <c r="F17" s="143"/>
      <c r="G17" s="143"/>
      <c r="H17" s="143"/>
      <c r="I17" s="143"/>
      <c r="J17" s="143"/>
      <c r="K17" s="143"/>
      <c r="L17" s="143"/>
      <c r="M17" s="143"/>
      <c r="N17" s="143"/>
      <c r="O17" s="143"/>
      <c r="P17" s="143"/>
      <c r="Q17" s="143"/>
      <c r="R17" s="143"/>
      <c r="S17" s="143"/>
      <c r="T17" s="143"/>
      <c r="U17" s="143"/>
      <c r="V17" s="143"/>
    </row>
    <row r="18" spans="1:22" ht="19.5" customHeight="1" x14ac:dyDescent="0.25">
      <c r="A18" s="154" t="s">
        <v>289</v>
      </c>
      <c r="B18" s="154"/>
      <c r="C18" s="154"/>
      <c r="D18" s="154"/>
      <c r="E18" s="154"/>
      <c r="F18" s="154"/>
      <c r="G18" s="154"/>
      <c r="H18" s="154"/>
      <c r="I18" s="154"/>
      <c r="J18" s="154"/>
      <c r="K18" s="154"/>
      <c r="L18" s="154"/>
      <c r="M18" s="154"/>
      <c r="N18" s="154"/>
      <c r="O18" s="154"/>
      <c r="P18" s="154"/>
      <c r="Q18" s="154"/>
      <c r="R18" s="154"/>
      <c r="S18" s="154"/>
      <c r="T18" s="154"/>
      <c r="U18" s="154"/>
      <c r="V18" s="154"/>
    </row>
    <row r="19" spans="1:22" ht="15" customHeight="1" x14ac:dyDescent="0.25">
      <c r="A19" s="14" t="s">
        <v>290</v>
      </c>
      <c r="B19" s="81">
        <f>'💰 CAPEX &amp; MOF'!$B$24</f>
        <v>236.15213700000004</v>
      </c>
      <c r="C19" s="81">
        <f>'💰 CAPEX &amp; MOF'!$B$24</f>
        <v>236.15213700000004</v>
      </c>
      <c r="D19" s="81">
        <f>'💰 CAPEX &amp; MOF'!$B$24</f>
        <v>236.15213700000004</v>
      </c>
      <c r="E19" s="81">
        <f>'💰 CAPEX &amp; MOF'!$B$24</f>
        <v>236.15213700000004</v>
      </c>
      <c r="F19" s="81">
        <f>'💰 CAPEX &amp; MOF'!$B$24</f>
        <v>236.15213700000004</v>
      </c>
      <c r="G19" s="81">
        <f>'💰 CAPEX &amp; MOF'!$B$24</f>
        <v>236.15213700000004</v>
      </c>
      <c r="H19" s="81">
        <f>'💰 CAPEX &amp; MOF'!$B$24</f>
        <v>236.15213700000004</v>
      </c>
      <c r="I19" s="81">
        <f>'💰 CAPEX &amp; MOF'!$B$24</f>
        <v>236.15213700000004</v>
      </c>
      <c r="J19" s="81">
        <f>'💰 CAPEX &amp; MOF'!$B$24</f>
        <v>236.15213700000004</v>
      </c>
      <c r="K19" s="81">
        <f>'💰 CAPEX &amp; MOF'!$B$24</f>
        <v>236.15213700000004</v>
      </c>
      <c r="L19" s="81">
        <f>'💰 CAPEX &amp; MOF'!$B$24</f>
        <v>236.15213700000004</v>
      </c>
      <c r="M19" s="81">
        <f>'💰 CAPEX &amp; MOF'!$B$24</f>
        <v>236.15213700000004</v>
      </c>
      <c r="N19" s="81">
        <f>'💰 CAPEX &amp; MOF'!$B$24</f>
        <v>236.15213700000004</v>
      </c>
      <c r="O19" s="81">
        <f>'💰 CAPEX &amp; MOF'!$B$24</f>
        <v>236.15213700000004</v>
      </c>
      <c r="P19" s="81">
        <f>'💰 CAPEX &amp; MOF'!$B$24</f>
        <v>236.15213700000004</v>
      </c>
      <c r="Q19" s="81">
        <f>'💰 CAPEX &amp; MOF'!$B$24</f>
        <v>236.15213700000004</v>
      </c>
      <c r="R19" s="81">
        <f>'💰 CAPEX &amp; MOF'!$B$24</f>
        <v>236.15213700000004</v>
      </c>
      <c r="S19" s="81">
        <f>'💰 CAPEX &amp; MOF'!$B$24</f>
        <v>236.15213700000004</v>
      </c>
      <c r="T19" s="81">
        <f>'💰 CAPEX &amp; MOF'!$B$24</f>
        <v>236.15213700000004</v>
      </c>
      <c r="U19" s="81">
        <f>'💰 CAPEX &amp; MOF'!$B$24</f>
        <v>236.15213700000004</v>
      </c>
      <c r="V19" s="81">
        <f>'💰 CAPEX &amp; MOF'!$B$24</f>
        <v>236.15213700000004</v>
      </c>
    </row>
    <row r="20" spans="1:22" ht="21.75" customHeight="1" x14ac:dyDescent="0.25">
      <c r="A20" s="45" t="s">
        <v>291</v>
      </c>
      <c r="B20" s="80">
        <v>0</v>
      </c>
      <c r="C20" s="80">
        <f>B20+'📈 P&amp;L'!C26</f>
        <v>-49.4642909875</v>
      </c>
      <c r="D20" s="80">
        <f>C20+'📈 P&amp;L'!D26</f>
        <v>-72.299771974999999</v>
      </c>
      <c r="E20" s="80">
        <f>D20+'📈 P&amp;L'!E26</f>
        <v>-91.586844626363643</v>
      </c>
      <c r="F20" s="80">
        <f>E20+'📈 P&amp;L'!F26</f>
        <v>-107.34573992159092</v>
      </c>
      <c r="G20" s="80">
        <f>F20+'📈 P&amp;L'!G26</f>
        <v>-119.59913234608183</v>
      </c>
      <c r="H20" s="80">
        <f>G20+'📈 P&amp;L'!H26</f>
        <v>-128.37223342677839</v>
      </c>
      <c r="I20" s="80">
        <f>H20+'📈 P&amp;L'!I26</f>
        <v>-133.69289051789625</v>
      </c>
      <c r="J20" s="80">
        <f>I20+'📈 P&amp;L'!J26</f>
        <v>-137.11427940658805</v>
      </c>
      <c r="K20" s="80">
        <f>J20+'📈 P&amp;L'!K26</f>
        <v>-142.53223374188806</v>
      </c>
      <c r="L20" s="80">
        <f>K20+'📈 P&amp;L'!L26</f>
        <v>-149.98315741279319</v>
      </c>
      <c r="M20" s="80">
        <f>L20+'📈 P&amp;L'!M26</f>
        <v>-163.81973741784353</v>
      </c>
      <c r="N20" s="80">
        <f>M20+'📈 P&amp;L'!N26</f>
        <v>-179.91022575864639</v>
      </c>
      <c r="O20" s="80">
        <f>N20+'📈 P&amp;L'!O26</f>
        <v>-212.58167689198939</v>
      </c>
      <c r="P20" s="80">
        <f>O20+'📈 P&amp;L'!P26</f>
        <v>-247.31149238219956</v>
      </c>
      <c r="Q20" s="80">
        <f>P20+'📈 P&amp;L'!Q26</f>
        <v>-284.15593014782621</v>
      </c>
      <c r="R20" s="80">
        <f>Q20+'📈 P&amp;L'!R26</f>
        <v>-323.17499420933211</v>
      </c>
      <c r="S20" s="80">
        <f>R20+'📈 P&amp;L'!S26</f>
        <v>-364.43260333006918</v>
      </c>
      <c r="T20" s="80">
        <f>S20+'📈 P&amp;L'!T26</f>
        <v>-407.99676846258592</v>
      </c>
      <c r="U20" s="80">
        <f>T20+'📈 P&amp;L'!U26</f>
        <v>-453.93977943306646</v>
      </c>
      <c r="V20" s="80">
        <f>U20+'📈 P&amp;L'!V26</f>
        <v>-502.33840131849223</v>
      </c>
    </row>
    <row r="21" spans="1:22" ht="15" customHeight="1" x14ac:dyDescent="0.25">
      <c r="A21" s="91" t="s">
        <v>292</v>
      </c>
      <c r="B21" s="92">
        <f t="shared" ref="B21:V21" si="3">B19+B20</f>
        <v>236.15213700000004</v>
      </c>
      <c r="C21" s="92">
        <f t="shared" si="3"/>
        <v>186.68784601250005</v>
      </c>
      <c r="D21" s="92">
        <f t="shared" si="3"/>
        <v>163.85236502500004</v>
      </c>
      <c r="E21" s="92">
        <f t="shared" si="3"/>
        <v>144.5652923736364</v>
      </c>
      <c r="F21" s="92">
        <f t="shared" si="3"/>
        <v>128.80639707840913</v>
      </c>
      <c r="G21" s="92">
        <f t="shared" si="3"/>
        <v>116.55300465391821</v>
      </c>
      <c r="H21" s="92">
        <f t="shared" si="3"/>
        <v>107.77990357322165</v>
      </c>
      <c r="I21" s="92">
        <f t="shared" si="3"/>
        <v>102.45924648210379</v>
      </c>
      <c r="J21" s="92">
        <f t="shared" si="3"/>
        <v>99.037857593411985</v>
      </c>
      <c r="K21" s="92">
        <f t="shared" si="3"/>
        <v>93.619903258111975</v>
      </c>
      <c r="L21" s="92">
        <f t="shared" si="3"/>
        <v>86.168979587206849</v>
      </c>
      <c r="M21" s="92">
        <f t="shared" si="3"/>
        <v>72.332399582156512</v>
      </c>
      <c r="N21" s="92">
        <f t="shared" si="3"/>
        <v>56.241911241353648</v>
      </c>
      <c r="O21" s="92">
        <f t="shared" si="3"/>
        <v>23.57046010801065</v>
      </c>
      <c r="P21" s="92">
        <f t="shared" si="3"/>
        <v>-11.159355382199522</v>
      </c>
      <c r="Q21" s="92">
        <f t="shared" si="3"/>
        <v>-48.003793147826173</v>
      </c>
      <c r="R21" s="92">
        <f t="shared" si="3"/>
        <v>-87.022857209332074</v>
      </c>
      <c r="S21" s="92">
        <f t="shared" si="3"/>
        <v>-128.28046633006915</v>
      </c>
      <c r="T21" s="92">
        <f t="shared" si="3"/>
        <v>-171.84463146258588</v>
      </c>
      <c r="U21" s="92">
        <f t="shared" si="3"/>
        <v>-217.78764243306642</v>
      </c>
      <c r="V21" s="92">
        <f t="shared" si="3"/>
        <v>-266.18626431849219</v>
      </c>
    </row>
    <row r="23" spans="1:22" ht="19.5" customHeight="1" x14ac:dyDescent="0.25">
      <c r="A23" s="154" t="s">
        <v>293</v>
      </c>
      <c r="B23" s="154"/>
      <c r="C23" s="154"/>
      <c r="D23" s="154"/>
      <c r="E23" s="154"/>
      <c r="F23" s="154"/>
      <c r="G23" s="154"/>
      <c r="H23" s="154"/>
      <c r="I23" s="154"/>
      <c r="J23" s="154"/>
      <c r="K23" s="154"/>
      <c r="L23" s="154"/>
      <c r="M23" s="154"/>
      <c r="N23" s="154"/>
      <c r="O23" s="154"/>
      <c r="P23" s="154"/>
      <c r="Q23" s="154"/>
      <c r="R23" s="154"/>
      <c r="S23" s="154"/>
      <c r="T23" s="154"/>
      <c r="U23" s="154"/>
      <c r="V23" s="154"/>
    </row>
    <row r="24" spans="1:22" ht="15" customHeight="1" x14ac:dyDescent="0.25">
      <c r="A24" s="68" t="s">
        <v>294</v>
      </c>
      <c r="B24" s="86">
        <f>'🏦 DEBT SCHEDULE'!$B$6+'🏦 DEBT SCHEDULE'!$B$5</f>
        <v>551.02165300000001</v>
      </c>
      <c r="C24" s="69">
        <f>MAX(0,'🏦 DEBT SCHEDULE'!C10-'🏦 DEBT SCHEDULE'!D8)</f>
        <v>236.30077545454549</v>
      </c>
      <c r="D24" s="69">
        <f>MAX(0,'🏦 DEBT SCHEDULE'!D10-'🏦 DEBT SCHEDULE'!E8)</f>
        <v>186.20789790909095</v>
      </c>
      <c r="E24" s="69">
        <f>MAX(0,'🏦 DEBT SCHEDULE'!E10-'🏦 DEBT SCHEDULE'!F8)</f>
        <v>136.1150203636364</v>
      </c>
      <c r="F24" s="69">
        <f>MAX(0,'🏦 DEBT SCHEDULE'!F10-'🏦 DEBT SCHEDULE'!G8)</f>
        <v>86.022142818181862</v>
      </c>
      <c r="G24" s="69">
        <f>MAX(0,'🏦 DEBT SCHEDULE'!G10-'🏦 DEBT SCHEDULE'!H8)</f>
        <v>35.929265272727314</v>
      </c>
      <c r="H24" s="69">
        <f>MAX(0,'🏦 DEBT SCHEDULE'!H10-'🏦 DEBT SCHEDULE'!I8)</f>
        <v>0</v>
      </c>
      <c r="I24" s="69">
        <f>MAX(0,'🏦 DEBT SCHEDULE'!I10-'🏦 DEBT SCHEDULE'!J8)</f>
        <v>0</v>
      </c>
      <c r="J24" s="69">
        <f>MAX(0,'🏦 DEBT SCHEDULE'!J10-'🏦 DEBT SCHEDULE'!K8)</f>
        <v>0</v>
      </c>
      <c r="K24" s="69">
        <f>MAX(0,'🏦 DEBT SCHEDULE'!K10-'🏦 DEBT SCHEDULE'!L8)</f>
        <v>0</v>
      </c>
      <c r="L24" s="69">
        <f>MAX(0,'🏦 DEBT SCHEDULE'!L10-'🏦 DEBT SCHEDULE'!M8)</f>
        <v>0</v>
      </c>
      <c r="M24" s="69">
        <f>MAX(0,'🏦 DEBT SCHEDULE'!M10-'🏦 DEBT SCHEDULE'!N8)</f>
        <v>0</v>
      </c>
      <c r="N24" s="69">
        <f>MAX(0,'🏦 DEBT SCHEDULE'!N10-'🏦 DEBT SCHEDULE'!O8)</f>
        <v>0</v>
      </c>
      <c r="O24" s="69">
        <f>MAX(0,'🏦 DEBT SCHEDULE'!O10-'🏦 DEBT SCHEDULE'!P8)</f>
        <v>0</v>
      </c>
      <c r="P24" s="69">
        <f>MAX(0,'🏦 DEBT SCHEDULE'!P10-'🏦 DEBT SCHEDULE'!Q8)</f>
        <v>0</v>
      </c>
      <c r="Q24" s="69">
        <f>MAX(0,'🏦 DEBT SCHEDULE'!Q10-'🏦 DEBT SCHEDULE'!R8)</f>
        <v>0</v>
      </c>
      <c r="R24" s="69">
        <f>MAX(0,'🏦 DEBT SCHEDULE'!R10-'🏦 DEBT SCHEDULE'!S8)</f>
        <v>0</v>
      </c>
      <c r="S24" s="69">
        <f>MAX(0,'🏦 DEBT SCHEDULE'!S10-'🏦 DEBT SCHEDULE'!T8)</f>
        <v>0</v>
      </c>
      <c r="T24" s="69">
        <f>MAX(0,'🏦 DEBT SCHEDULE'!T10-'🏦 DEBT SCHEDULE'!U8)</f>
        <v>0</v>
      </c>
      <c r="U24" s="69">
        <f>MAX(0,'🏦 DEBT SCHEDULE'!U10-'🏦 DEBT SCHEDULE'!V8)</f>
        <v>0</v>
      </c>
      <c r="V24" s="69">
        <f>'🏦 DEBT SCHEDULE'!V10</f>
        <v>0</v>
      </c>
    </row>
    <row r="25" spans="1:22" ht="21.75" customHeight="1" x14ac:dyDescent="0.25">
      <c r="A25" s="91" t="s">
        <v>295</v>
      </c>
      <c r="B25" s="92">
        <f t="shared" ref="B25:V25" si="4">B24+B26</f>
        <v>551.02165300000001</v>
      </c>
      <c r="C25" s="92">
        <f t="shared" si="4"/>
        <v>487.69737545454547</v>
      </c>
      <c r="D25" s="92">
        <f t="shared" si="4"/>
        <v>424.37309790909092</v>
      </c>
      <c r="E25" s="92">
        <f t="shared" si="4"/>
        <v>361.04882036363637</v>
      </c>
      <c r="F25" s="92">
        <f t="shared" si="4"/>
        <v>297.72454281818182</v>
      </c>
      <c r="G25" s="92">
        <f t="shared" si="4"/>
        <v>234.40026527272727</v>
      </c>
      <c r="H25" s="92">
        <f t="shared" si="4"/>
        <v>185.23959999999994</v>
      </c>
      <c r="I25" s="92">
        <f t="shared" si="4"/>
        <v>172.00819999999993</v>
      </c>
      <c r="J25" s="92">
        <f t="shared" si="4"/>
        <v>158.77679999999992</v>
      </c>
      <c r="K25" s="92">
        <f t="shared" si="4"/>
        <v>145.54539999999992</v>
      </c>
      <c r="L25" s="92">
        <f t="shared" si="4"/>
        <v>132.31399999999991</v>
      </c>
      <c r="M25" s="92">
        <f t="shared" si="4"/>
        <v>119.08259999999991</v>
      </c>
      <c r="N25" s="92">
        <f t="shared" si="4"/>
        <v>105.85119999999992</v>
      </c>
      <c r="O25" s="92">
        <f t="shared" si="4"/>
        <v>92.619799999999927</v>
      </c>
      <c r="P25" s="92">
        <f t="shared" si="4"/>
        <v>79.388399999999933</v>
      </c>
      <c r="Q25" s="92">
        <f t="shared" si="4"/>
        <v>66.15699999999994</v>
      </c>
      <c r="R25" s="92">
        <f t="shared" si="4"/>
        <v>52.925599999999939</v>
      </c>
      <c r="S25" s="92">
        <f t="shared" si="4"/>
        <v>39.694199999999938</v>
      </c>
      <c r="T25" s="92">
        <f t="shared" si="4"/>
        <v>26.462799999999937</v>
      </c>
      <c r="U25" s="92">
        <f t="shared" si="4"/>
        <v>13.231399999999939</v>
      </c>
      <c r="V25" s="92">
        <f t="shared" si="4"/>
        <v>-6.0396132539608516E-14</v>
      </c>
    </row>
    <row r="26" spans="1:22" ht="21.75" customHeight="1" x14ac:dyDescent="0.25">
      <c r="A26" s="68" t="s">
        <v>296</v>
      </c>
      <c r="B26" s="69">
        <v>0</v>
      </c>
      <c r="C26" s="86">
        <f>'📉 DEPRECIATION'!C19</f>
        <v>251.39659999999998</v>
      </c>
      <c r="D26" s="86">
        <f>'📉 DEPRECIATION'!D19</f>
        <v>238.16519999999997</v>
      </c>
      <c r="E26" s="86">
        <f>'📉 DEPRECIATION'!E19</f>
        <v>224.93379999999996</v>
      </c>
      <c r="F26" s="86">
        <f>'📉 DEPRECIATION'!F19</f>
        <v>211.70239999999995</v>
      </c>
      <c r="G26" s="86">
        <f>'📉 DEPRECIATION'!G19</f>
        <v>198.47099999999995</v>
      </c>
      <c r="H26" s="86">
        <f>'📉 DEPRECIATION'!H19</f>
        <v>185.23959999999994</v>
      </c>
      <c r="I26" s="86">
        <f>'📉 DEPRECIATION'!I19</f>
        <v>172.00819999999993</v>
      </c>
      <c r="J26" s="86">
        <f>'📉 DEPRECIATION'!J19</f>
        <v>158.77679999999992</v>
      </c>
      <c r="K26" s="86">
        <f>'📉 DEPRECIATION'!K19</f>
        <v>145.54539999999992</v>
      </c>
      <c r="L26" s="86">
        <f>'📉 DEPRECIATION'!L19</f>
        <v>132.31399999999991</v>
      </c>
      <c r="M26" s="86">
        <f>'📉 DEPRECIATION'!M19</f>
        <v>119.08259999999991</v>
      </c>
      <c r="N26" s="86">
        <f>'📉 DEPRECIATION'!N19</f>
        <v>105.85119999999992</v>
      </c>
      <c r="O26" s="86">
        <f>'📉 DEPRECIATION'!O19</f>
        <v>92.619799999999927</v>
      </c>
      <c r="P26" s="86">
        <f>'📉 DEPRECIATION'!P19</f>
        <v>79.388399999999933</v>
      </c>
      <c r="Q26" s="86">
        <f>'📉 DEPRECIATION'!Q19</f>
        <v>66.15699999999994</v>
      </c>
      <c r="R26" s="86">
        <f>'📉 DEPRECIATION'!R19</f>
        <v>52.925599999999939</v>
      </c>
      <c r="S26" s="86">
        <f>'📉 DEPRECIATION'!S19</f>
        <v>39.694199999999938</v>
      </c>
      <c r="T26" s="86">
        <f>'📉 DEPRECIATION'!T19</f>
        <v>26.462799999999937</v>
      </c>
      <c r="U26" s="86">
        <f>'📉 DEPRECIATION'!U19</f>
        <v>13.231399999999939</v>
      </c>
      <c r="V26" s="86">
        <f>'📉 DEPRECIATION'!V19</f>
        <v>-6.0396132539608516E-14</v>
      </c>
    </row>
    <row r="27" spans="1:22" ht="19.5" customHeight="1" x14ac:dyDescent="0.25">
      <c r="A27" s="154" t="s">
        <v>297</v>
      </c>
      <c r="B27" s="154"/>
      <c r="C27" s="154"/>
      <c r="D27" s="154"/>
      <c r="E27" s="154"/>
      <c r="F27" s="154"/>
      <c r="G27" s="154"/>
      <c r="H27" s="154"/>
      <c r="I27" s="154"/>
      <c r="J27" s="154"/>
      <c r="K27" s="154"/>
      <c r="L27" s="154"/>
      <c r="M27" s="154"/>
      <c r="N27" s="154"/>
      <c r="O27" s="154"/>
      <c r="P27" s="154"/>
      <c r="Q27" s="154"/>
      <c r="R27" s="154"/>
      <c r="S27" s="154"/>
      <c r="T27" s="154"/>
      <c r="U27" s="154"/>
      <c r="V27" s="154"/>
    </row>
    <row r="28" spans="1:22" ht="21.75" customHeight="1" x14ac:dyDescent="0.25">
      <c r="A28" s="95" t="s">
        <v>298</v>
      </c>
      <c r="B28" s="96">
        <v>0</v>
      </c>
      <c r="C28" s="96">
        <f>'🏦 DEBT SCHEDULE'!C10-C24</f>
        <v>50.092877545454542</v>
      </c>
      <c r="D28" s="96">
        <f>'🏦 DEBT SCHEDULE'!D10-D24</f>
        <v>50.092877545454542</v>
      </c>
      <c r="E28" s="96">
        <f>'🏦 DEBT SCHEDULE'!E10-E24</f>
        <v>50.092877545454542</v>
      </c>
      <c r="F28" s="96">
        <f>'🏦 DEBT SCHEDULE'!F10-F24</f>
        <v>50.092877545454542</v>
      </c>
      <c r="G28" s="96">
        <f>'🏦 DEBT SCHEDULE'!G10-G24</f>
        <v>50.092877545454549</v>
      </c>
      <c r="H28" s="96">
        <f>'🏦 DEBT SCHEDULE'!H10-H24</f>
        <v>35.929265272727314</v>
      </c>
      <c r="I28" s="96">
        <f>'🏦 DEBT SCHEDULE'!I10-I24</f>
        <v>0</v>
      </c>
      <c r="J28" s="96">
        <f>'🏦 DEBT SCHEDULE'!J10-J24</f>
        <v>0</v>
      </c>
      <c r="K28" s="96">
        <f>'🏦 DEBT SCHEDULE'!K10-K24</f>
        <v>0</v>
      </c>
      <c r="L28" s="96">
        <f>'🏦 DEBT SCHEDULE'!L10-L24</f>
        <v>0</v>
      </c>
      <c r="M28" s="96">
        <f>'🏦 DEBT SCHEDULE'!M10-M24</f>
        <v>0</v>
      </c>
      <c r="N28" s="96">
        <f>'🏦 DEBT SCHEDULE'!N10-N24</f>
        <v>0</v>
      </c>
      <c r="O28" s="96">
        <f>'🏦 DEBT SCHEDULE'!O10-O24</f>
        <v>0</v>
      </c>
      <c r="P28" s="96">
        <f>'🏦 DEBT SCHEDULE'!P10-P24</f>
        <v>0</v>
      </c>
      <c r="Q28" s="96">
        <f>'🏦 DEBT SCHEDULE'!Q10-Q24</f>
        <v>0</v>
      </c>
      <c r="R28" s="96">
        <f>'🏦 DEBT SCHEDULE'!R10-R24</f>
        <v>0</v>
      </c>
      <c r="S28" s="96">
        <f>'🏦 DEBT SCHEDULE'!S10-S24</f>
        <v>0</v>
      </c>
      <c r="T28" s="96">
        <f>'🏦 DEBT SCHEDULE'!T10-T24</f>
        <v>0</v>
      </c>
      <c r="U28" s="96">
        <f>'🏦 DEBT SCHEDULE'!U10-U24</f>
        <v>0</v>
      </c>
      <c r="V28" s="96">
        <f>'🏦 DEBT SCHEDULE'!V10-V24</f>
        <v>0</v>
      </c>
    </row>
    <row r="29" spans="1:22" ht="15" customHeight="1" x14ac:dyDescent="0.25">
      <c r="A29" s="91" t="s">
        <v>299</v>
      </c>
      <c r="B29" s="92">
        <f t="shared" ref="B29:V29" si="5">B28</f>
        <v>0</v>
      </c>
      <c r="C29" s="92">
        <f t="shared" si="5"/>
        <v>50.092877545454542</v>
      </c>
      <c r="D29" s="92">
        <f t="shared" si="5"/>
        <v>50.092877545454542</v>
      </c>
      <c r="E29" s="92">
        <f t="shared" si="5"/>
        <v>50.092877545454542</v>
      </c>
      <c r="F29" s="92">
        <f t="shared" si="5"/>
        <v>50.092877545454542</v>
      </c>
      <c r="G29" s="92">
        <f t="shared" si="5"/>
        <v>50.092877545454549</v>
      </c>
      <c r="H29" s="92">
        <f t="shared" si="5"/>
        <v>35.929265272727314</v>
      </c>
      <c r="I29" s="92">
        <f t="shared" si="5"/>
        <v>0</v>
      </c>
      <c r="J29" s="92">
        <f t="shared" si="5"/>
        <v>0</v>
      </c>
      <c r="K29" s="92">
        <f t="shared" si="5"/>
        <v>0</v>
      </c>
      <c r="L29" s="92">
        <f t="shared" si="5"/>
        <v>0</v>
      </c>
      <c r="M29" s="92">
        <f t="shared" si="5"/>
        <v>0</v>
      </c>
      <c r="N29" s="92">
        <f t="shared" si="5"/>
        <v>0</v>
      </c>
      <c r="O29" s="92">
        <f t="shared" si="5"/>
        <v>0</v>
      </c>
      <c r="P29" s="92">
        <f t="shared" si="5"/>
        <v>0</v>
      </c>
      <c r="Q29" s="92">
        <f t="shared" si="5"/>
        <v>0</v>
      </c>
      <c r="R29" s="92">
        <f t="shared" si="5"/>
        <v>0</v>
      </c>
      <c r="S29" s="92">
        <f t="shared" si="5"/>
        <v>0</v>
      </c>
      <c r="T29" s="92">
        <f t="shared" si="5"/>
        <v>0</v>
      </c>
      <c r="U29" s="92">
        <f t="shared" si="5"/>
        <v>0</v>
      </c>
      <c r="V29" s="92">
        <f t="shared" si="5"/>
        <v>0</v>
      </c>
    </row>
    <row r="30" spans="1:22" ht="15" customHeight="1" x14ac:dyDescent="0.25">
      <c r="A30" s="70" t="s">
        <v>300</v>
      </c>
      <c r="B30" s="71">
        <f t="shared" ref="B30:V30" si="6">B21+B25+B29</f>
        <v>787.17379000000005</v>
      </c>
      <c r="C30" s="71">
        <f t="shared" si="6"/>
        <v>724.47809901250002</v>
      </c>
      <c r="D30" s="71">
        <f t="shared" si="6"/>
        <v>638.31834047954544</v>
      </c>
      <c r="E30" s="71">
        <f t="shared" si="6"/>
        <v>555.70699028272725</v>
      </c>
      <c r="F30" s="71">
        <f t="shared" si="6"/>
        <v>476.62381744204549</v>
      </c>
      <c r="G30" s="71">
        <f t="shared" si="6"/>
        <v>401.04614747210002</v>
      </c>
      <c r="H30" s="71">
        <f t="shared" si="6"/>
        <v>328.9487688459489</v>
      </c>
      <c r="I30" s="71">
        <f t="shared" si="6"/>
        <v>274.4674464821037</v>
      </c>
      <c r="J30" s="71">
        <f t="shared" si="6"/>
        <v>257.81465759341188</v>
      </c>
      <c r="K30" s="71">
        <f t="shared" si="6"/>
        <v>239.16530325811189</v>
      </c>
      <c r="L30" s="71">
        <f t="shared" si="6"/>
        <v>218.48297958720676</v>
      </c>
      <c r="M30" s="71">
        <f t="shared" si="6"/>
        <v>191.41499958215644</v>
      </c>
      <c r="N30" s="71">
        <f t="shared" si="6"/>
        <v>162.09311124135357</v>
      </c>
      <c r="O30" s="71">
        <f t="shared" si="6"/>
        <v>116.19026010801058</v>
      </c>
      <c r="P30" s="71">
        <f t="shared" si="6"/>
        <v>68.229044617800412</v>
      </c>
      <c r="Q30" s="71">
        <f t="shared" si="6"/>
        <v>18.153206852173767</v>
      </c>
      <c r="R30" s="71">
        <f t="shared" si="6"/>
        <v>-34.097257209332135</v>
      </c>
      <c r="S30" s="71">
        <f t="shared" si="6"/>
        <v>-88.586266330069208</v>
      </c>
      <c r="T30" s="71">
        <f t="shared" si="6"/>
        <v>-145.38183146258595</v>
      </c>
      <c r="U30" s="71">
        <f t="shared" si="6"/>
        <v>-204.55624243306647</v>
      </c>
      <c r="V30" s="71">
        <f t="shared" si="6"/>
        <v>-266.18626431849225</v>
      </c>
    </row>
    <row r="31" spans="1:22" ht="21.75" customHeight="1" x14ac:dyDescent="0.25">
      <c r="A31" s="51" t="s">
        <v>301</v>
      </c>
      <c r="B31" s="79">
        <f t="shared" ref="B31:V31" si="7">B15-B30</f>
        <v>0</v>
      </c>
      <c r="C31" s="79">
        <f t="shared" si="7"/>
        <v>0</v>
      </c>
      <c r="D31" s="79">
        <f t="shared" si="7"/>
        <v>0</v>
      </c>
      <c r="E31" s="79">
        <f t="shared" si="7"/>
        <v>0</v>
      </c>
      <c r="F31" s="79">
        <f t="shared" si="7"/>
        <v>0</v>
      </c>
      <c r="G31" s="79">
        <f t="shared" si="7"/>
        <v>0</v>
      </c>
      <c r="H31" s="79">
        <f t="shared" si="7"/>
        <v>0</v>
      </c>
      <c r="I31" s="79">
        <f t="shared" si="7"/>
        <v>0</v>
      </c>
      <c r="J31" s="79">
        <f t="shared" si="7"/>
        <v>0</v>
      </c>
      <c r="K31" s="79">
        <f t="shared" si="7"/>
        <v>2.5579538487363607E-13</v>
      </c>
      <c r="L31" s="79">
        <f t="shared" si="7"/>
        <v>2.8421709430404007E-13</v>
      </c>
      <c r="M31" s="79">
        <f t="shared" si="7"/>
        <v>2.8421709430404007E-13</v>
      </c>
      <c r="N31" s="79">
        <f t="shared" si="7"/>
        <v>3.1263880373444408E-13</v>
      </c>
      <c r="O31" s="79">
        <f t="shared" si="7"/>
        <v>2.9842794901924208E-13</v>
      </c>
      <c r="P31" s="79">
        <f t="shared" si="7"/>
        <v>3.4106051316484809E-13</v>
      </c>
      <c r="Q31" s="79">
        <f t="shared" si="7"/>
        <v>3.2684965844964609E-13</v>
      </c>
      <c r="R31" s="79">
        <f t="shared" si="7"/>
        <v>3.4816594052244909E-13</v>
      </c>
      <c r="S31" s="79">
        <f t="shared" si="7"/>
        <v>3.1263880373444408E-13</v>
      </c>
      <c r="T31" s="79">
        <f t="shared" si="7"/>
        <v>2.8421709430404007E-13</v>
      </c>
      <c r="U31" s="79">
        <f t="shared" si="7"/>
        <v>2.2737367544323206E-13</v>
      </c>
      <c r="V31" s="79">
        <f t="shared" si="7"/>
        <v>0</v>
      </c>
    </row>
  </sheetData>
  <mergeCells count="7">
    <mergeCell ref="A23:V23"/>
    <mergeCell ref="A27:V27"/>
    <mergeCell ref="A4:V4"/>
    <mergeCell ref="A5:V5"/>
    <mergeCell ref="A11:V11"/>
    <mergeCell ref="A17:V17"/>
    <mergeCell ref="A18:V18"/>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 COVER</vt:lpstr>
      <vt:lpstr>📋 ASSUMPTIONS</vt:lpstr>
      <vt:lpstr>💰 CAPEX &amp; MOF</vt:lpstr>
      <vt:lpstr>📊 REVENUE MODEL</vt:lpstr>
      <vt:lpstr>💸 OPEX SCHEDULE</vt:lpstr>
      <vt:lpstr>📉 DEPRECIATION</vt:lpstr>
      <vt:lpstr>🏦 DEBT SCHEDULE</vt:lpstr>
      <vt:lpstr>📈 P&amp;L</vt:lpstr>
      <vt:lpstr>🏛 BALANCE SHEET</vt:lpstr>
      <vt:lpstr>💵 CASH FLOW</vt:lpstr>
      <vt:lpstr>🎯 DSCR &amp; DEBT SERVICE</vt:lpstr>
      <vt:lpstr>📐 RETURNS &amp; WACC</vt:lpstr>
      <vt:lpstr>🔬 SENSITIVITY</vt:lpstr>
      <vt:lpstr>🎖 LENDER DASHBOARD</vt:lpstr>
      <vt:lpstr>📖 HOW TO USE</vt:lpstr>
      <vt:lpstr>📋 CMA FORM I - OPERATING STMT</vt:lpstr>
      <vt:lpstr>📋 CMA FORM II - BS ANALYSIS</vt:lpstr>
      <vt:lpstr>📋 CMA FORM V - FUND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madhu roy</cp:lastModifiedBy>
  <cp:revision>0</cp:revision>
  <dcterms:created xsi:type="dcterms:W3CDTF">2026-07-22T10:21:26Z</dcterms:created>
  <dcterms:modified xsi:type="dcterms:W3CDTF">2026-07-27T10:47:00Z</dcterms:modified>
  <dc:language>en-US</dc:language>
</cp:coreProperties>
</file>