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ACER Data website\MAYA\CAMSROY website\Excel Template\MIS Dashboard\"/>
    </mc:Choice>
  </mc:AlternateContent>
  <xr:revisionPtr revIDLastSave="0" documentId="13_ncr:1_{A52B6C19-26AE-495D-B8F6-7D5B93565BC4}" xr6:coauthVersionLast="47" xr6:coauthVersionMax="47" xr10:uidLastSave="{00000000-0000-0000-0000-000000000000}"/>
  <bookViews>
    <workbookView xWindow="-120" yWindow="-120" windowWidth="25440" windowHeight="15270" tabRatio="500" xr2:uid="{00000000-000D-0000-FFFF-FFFF00000000}"/>
  </bookViews>
  <sheets>
    <sheet name="🏠 COVER" sheetId="1" r:id="rId1"/>
    <sheet name="📥 RAW DATA INPUT" sheetId="2" r:id="rId2"/>
    <sheet name="📋 BUDGET" sheetId="3" r:id="rId3"/>
    <sheet name="📦 SALES &amp; REVENUE" sheetId="4" r:id="rId4"/>
    <sheet name="💰 P&amp;L SUMMARY" sheetId="5" r:id="rId5"/>
    <sheet name="🏦 CASH FLOW" sheetId="6" r:id="rId6"/>
    <sheet name="👥 HR &amp; HEADCOUNT" sheetId="7" r:id="rId7"/>
    <sheet name="📊 KPI TRACKER" sheetId="8" r:id="rId8"/>
    <sheet name="🖥 DASHBOARD" sheetId="9" r:id="rId9"/>
    <sheet name="🔄 WORKING CAPITAL" sheetId="10" r:id="rId10"/>
    <sheet name="📖 HOW TO USE" sheetId="11" r:id="rId11"/>
    <sheet name="🤖 AI INSIGHTS" sheetId="12" r:id="rId12"/>
  </sheets>
  <definedNames>
    <definedName name="_xlnm.Print_Area" localSheetId="7">'📊 KPI TRACKER'!$A$1:$H$48</definedName>
    <definedName name="_xlnm.Print_Area" localSheetId="8">'🖥 DASHBOARD'!$A$1:$K$60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O66" i="3" l="1"/>
  <c r="O65" i="3"/>
  <c r="O61" i="3"/>
  <c r="O58" i="3"/>
  <c r="N55" i="10"/>
  <c r="M55" i="10"/>
  <c r="L55" i="10"/>
  <c r="K55" i="10"/>
  <c r="J55" i="10"/>
  <c r="I55" i="10"/>
  <c r="H55" i="10"/>
  <c r="G55" i="10"/>
  <c r="F55" i="10"/>
  <c r="E55" i="10"/>
  <c r="D55" i="10"/>
  <c r="C55" i="10"/>
  <c r="N50" i="10"/>
  <c r="M50" i="10"/>
  <c r="L50" i="10"/>
  <c r="K50" i="10"/>
  <c r="J50" i="10"/>
  <c r="I50" i="10"/>
  <c r="H50" i="10"/>
  <c r="G50" i="10"/>
  <c r="F50" i="10"/>
  <c r="E50" i="10"/>
  <c r="D50" i="10"/>
  <c r="C50" i="10"/>
  <c r="N43" i="10"/>
  <c r="M43" i="10"/>
  <c r="L43" i="10"/>
  <c r="K43" i="10"/>
  <c r="J43" i="10"/>
  <c r="I43" i="10"/>
  <c r="H43" i="10"/>
  <c r="G43" i="10"/>
  <c r="F43" i="10"/>
  <c r="E43" i="10"/>
  <c r="D43" i="10"/>
  <c r="C43" i="10"/>
  <c r="N42" i="10"/>
  <c r="M42" i="10"/>
  <c r="L42" i="10"/>
  <c r="K42" i="10"/>
  <c r="J42" i="10"/>
  <c r="I42" i="10"/>
  <c r="H42" i="10"/>
  <c r="G42" i="10"/>
  <c r="F42" i="10"/>
  <c r="E42" i="10"/>
  <c r="D42" i="10"/>
  <c r="C42" i="10"/>
  <c r="N41" i="10"/>
  <c r="M41" i="10"/>
  <c r="L41" i="10"/>
  <c r="K41" i="10"/>
  <c r="J41" i="10"/>
  <c r="I41" i="10"/>
  <c r="H41" i="10"/>
  <c r="G41" i="10"/>
  <c r="F41" i="10"/>
  <c r="E41" i="10"/>
  <c r="D41" i="10"/>
  <c r="C41" i="10"/>
  <c r="N40" i="10"/>
  <c r="M40" i="10"/>
  <c r="L40" i="10"/>
  <c r="K40" i="10"/>
  <c r="J40" i="10"/>
  <c r="I40" i="10"/>
  <c r="H40" i="10"/>
  <c r="G40" i="10"/>
  <c r="F40" i="10"/>
  <c r="E40" i="10"/>
  <c r="D40" i="10"/>
  <c r="C40" i="10"/>
  <c r="N39" i="10"/>
  <c r="M39" i="10"/>
  <c r="N38" i="10"/>
  <c r="M38" i="10"/>
  <c r="L38" i="10"/>
  <c r="K38" i="10"/>
  <c r="J38" i="10"/>
  <c r="I38" i="10"/>
  <c r="H38" i="10"/>
  <c r="G38" i="10"/>
  <c r="F38" i="10"/>
  <c r="E38" i="10"/>
  <c r="D38" i="10"/>
  <c r="C38" i="10"/>
  <c r="N37" i="10"/>
  <c r="M37" i="10"/>
  <c r="L37" i="10"/>
  <c r="K37" i="10"/>
  <c r="J37" i="10"/>
  <c r="I37" i="10"/>
  <c r="H37" i="10"/>
  <c r="G37" i="10"/>
  <c r="F37" i="10"/>
  <c r="E37" i="10"/>
  <c r="D37" i="10"/>
  <c r="C37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N33" i="10"/>
  <c r="M33" i="10"/>
  <c r="L33" i="10"/>
  <c r="K33" i="10"/>
  <c r="J33" i="10"/>
  <c r="I33" i="10"/>
  <c r="H33" i="10"/>
  <c r="G33" i="10"/>
  <c r="F33" i="10"/>
  <c r="E33" i="10"/>
  <c r="D33" i="10"/>
  <c r="C33" i="10"/>
  <c r="N10" i="10"/>
  <c r="M10" i="10"/>
  <c r="L10" i="10"/>
  <c r="K10" i="10"/>
  <c r="J10" i="10"/>
  <c r="I10" i="10"/>
  <c r="H10" i="10"/>
  <c r="G10" i="10"/>
  <c r="F10" i="10"/>
  <c r="E10" i="10"/>
  <c r="D10" i="10"/>
  <c r="C10" i="10"/>
  <c r="N9" i="10"/>
  <c r="M9" i="10"/>
  <c r="L9" i="10"/>
  <c r="K9" i="10"/>
  <c r="J9" i="10"/>
  <c r="I9" i="10"/>
  <c r="H9" i="10"/>
  <c r="G9" i="10"/>
  <c r="F9" i="10"/>
  <c r="E9" i="10"/>
  <c r="D9" i="10"/>
  <c r="C9" i="10"/>
  <c r="N8" i="10"/>
  <c r="M8" i="10"/>
  <c r="L8" i="10"/>
  <c r="K8" i="10"/>
  <c r="J8" i="10"/>
  <c r="I8" i="10"/>
  <c r="H8" i="10"/>
  <c r="G8" i="10"/>
  <c r="F8" i="10"/>
  <c r="E8" i="10"/>
  <c r="D8" i="10"/>
  <c r="C8" i="10"/>
  <c r="N7" i="10"/>
  <c r="M7" i="10"/>
  <c r="L7" i="10"/>
  <c r="K7" i="10"/>
  <c r="J7" i="10"/>
  <c r="I7" i="10"/>
  <c r="H7" i="10"/>
  <c r="G7" i="10"/>
  <c r="F7" i="10"/>
  <c r="E7" i="10"/>
  <c r="D7" i="10"/>
  <c r="C7" i="10"/>
  <c r="N6" i="10"/>
  <c r="M6" i="10"/>
  <c r="L6" i="10"/>
  <c r="K6" i="10"/>
  <c r="J6" i="10"/>
  <c r="I6" i="10"/>
  <c r="H6" i="10"/>
  <c r="G6" i="10"/>
  <c r="F6" i="10"/>
  <c r="E6" i="10"/>
  <c r="D6" i="10"/>
  <c r="C6" i="10"/>
  <c r="N5" i="10"/>
  <c r="M5" i="10"/>
  <c r="L5" i="10"/>
  <c r="K5" i="10"/>
  <c r="J5" i="10"/>
  <c r="I5" i="10"/>
  <c r="H5" i="10"/>
  <c r="G5" i="10"/>
  <c r="F5" i="10"/>
  <c r="E5" i="10"/>
  <c r="D5" i="10"/>
  <c r="C5" i="10"/>
  <c r="D49" i="9"/>
  <c r="D48" i="9"/>
  <c r="D47" i="9"/>
  <c r="D46" i="9"/>
  <c r="D36" i="9"/>
  <c r="C36" i="9"/>
  <c r="H27" i="9"/>
  <c r="G27" i="9"/>
  <c r="F27" i="9"/>
  <c r="E27" i="9"/>
  <c r="D27" i="9"/>
  <c r="C27" i="9"/>
  <c r="B3" i="9"/>
  <c r="D36" i="8"/>
  <c r="C36" i="8"/>
  <c r="E35" i="8"/>
  <c r="D35" i="8"/>
  <c r="C35" i="8"/>
  <c r="D34" i="8"/>
  <c r="C34" i="8"/>
  <c r="E32" i="8"/>
  <c r="D32" i="8"/>
  <c r="E31" i="8"/>
  <c r="D31" i="8"/>
  <c r="C31" i="8"/>
  <c r="E30" i="8"/>
  <c r="D30" i="8"/>
  <c r="C30" i="8"/>
  <c r="E29" i="8"/>
  <c r="D29" i="8"/>
  <c r="C29" i="8"/>
  <c r="E28" i="8"/>
  <c r="E26" i="8"/>
  <c r="E25" i="8"/>
  <c r="E24" i="8"/>
  <c r="E23" i="8"/>
  <c r="E22" i="8"/>
  <c r="E21" i="8"/>
  <c r="E19" i="8"/>
  <c r="E18" i="8"/>
  <c r="D6" i="8"/>
  <c r="C6" i="8"/>
  <c r="D5" i="8"/>
  <c r="C5" i="8"/>
  <c r="N12" i="7"/>
  <c r="M12" i="7"/>
  <c r="L12" i="7"/>
  <c r="K12" i="7"/>
  <c r="J12" i="7"/>
  <c r="I12" i="7"/>
  <c r="H12" i="7"/>
  <c r="G12" i="7"/>
  <c r="F12" i="7"/>
  <c r="E12" i="7"/>
  <c r="D12" i="7"/>
  <c r="C12" i="7"/>
  <c r="N9" i="7"/>
  <c r="M9" i="7"/>
  <c r="L9" i="7"/>
  <c r="K9" i="7"/>
  <c r="J9" i="7"/>
  <c r="I9" i="7"/>
  <c r="H9" i="7"/>
  <c r="G9" i="7"/>
  <c r="F9" i="7"/>
  <c r="E9" i="7"/>
  <c r="D9" i="7"/>
  <c r="C9" i="7"/>
  <c r="N8" i="7"/>
  <c r="M8" i="7"/>
  <c r="L8" i="7"/>
  <c r="K8" i="7"/>
  <c r="J8" i="7"/>
  <c r="I8" i="7"/>
  <c r="H8" i="7"/>
  <c r="G8" i="7"/>
  <c r="F8" i="7"/>
  <c r="E8" i="7"/>
  <c r="D8" i="7"/>
  <c r="C8" i="7"/>
  <c r="O7" i="7"/>
  <c r="N6" i="7"/>
  <c r="M6" i="7"/>
  <c r="L6" i="7"/>
  <c r="K6" i="7"/>
  <c r="J6" i="7"/>
  <c r="I6" i="7"/>
  <c r="H6" i="7"/>
  <c r="G6" i="7"/>
  <c r="F6" i="7"/>
  <c r="E6" i="7"/>
  <c r="D6" i="7"/>
  <c r="C6" i="7"/>
  <c r="N5" i="7"/>
  <c r="M5" i="7"/>
  <c r="L5" i="7"/>
  <c r="K5" i="7"/>
  <c r="J5" i="7"/>
  <c r="I5" i="7"/>
  <c r="H5" i="7"/>
  <c r="G5" i="7"/>
  <c r="F5" i="7"/>
  <c r="E5" i="7"/>
  <c r="D5" i="7"/>
  <c r="C5" i="7"/>
  <c r="N4" i="7"/>
  <c r="M4" i="7"/>
  <c r="L4" i="7"/>
  <c r="K4" i="7"/>
  <c r="J4" i="7"/>
  <c r="I4" i="7"/>
  <c r="H4" i="7"/>
  <c r="G4" i="7"/>
  <c r="F4" i="7"/>
  <c r="E4" i="7"/>
  <c r="D4" i="7"/>
  <c r="C4" i="7"/>
  <c r="N19" i="6"/>
  <c r="M19" i="6"/>
  <c r="L19" i="6"/>
  <c r="K19" i="6"/>
  <c r="J19" i="6"/>
  <c r="I19" i="6"/>
  <c r="H19" i="6"/>
  <c r="G19" i="6"/>
  <c r="F19" i="6"/>
  <c r="E19" i="6"/>
  <c r="D19" i="6"/>
  <c r="C19" i="6"/>
  <c r="G17" i="6"/>
  <c r="F17" i="6"/>
  <c r="E17" i="6"/>
  <c r="D17" i="6"/>
  <c r="C17" i="6"/>
  <c r="N16" i="6"/>
  <c r="M16" i="6"/>
  <c r="L16" i="6"/>
  <c r="K16" i="6"/>
  <c r="J16" i="6"/>
  <c r="I16" i="6"/>
  <c r="H16" i="6"/>
  <c r="G16" i="6"/>
  <c r="F16" i="6"/>
  <c r="E16" i="6"/>
  <c r="D16" i="6"/>
  <c r="C16" i="6"/>
  <c r="N15" i="6"/>
  <c r="M15" i="6"/>
  <c r="L15" i="6"/>
  <c r="K15" i="6"/>
  <c r="J15" i="6"/>
  <c r="I15" i="6"/>
  <c r="H15" i="6"/>
  <c r="G15" i="6"/>
  <c r="F15" i="6"/>
  <c r="E15" i="6"/>
  <c r="D15" i="6"/>
  <c r="C15" i="6"/>
  <c r="N12" i="6"/>
  <c r="M12" i="6"/>
  <c r="L12" i="6"/>
  <c r="K12" i="6"/>
  <c r="J12" i="6"/>
  <c r="I12" i="6"/>
  <c r="H12" i="6"/>
  <c r="G12" i="6"/>
  <c r="F12" i="6"/>
  <c r="E12" i="6"/>
  <c r="D12" i="6"/>
  <c r="C12" i="6"/>
  <c r="N9" i="6"/>
  <c r="M9" i="6"/>
  <c r="L9" i="6"/>
  <c r="K9" i="6"/>
  <c r="J9" i="6"/>
  <c r="I9" i="6"/>
  <c r="H9" i="6"/>
  <c r="G9" i="6"/>
  <c r="F9" i="6"/>
  <c r="E9" i="6"/>
  <c r="D9" i="6"/>
  <c r="C9" i="6"/>
  <c r="N8" i="6"/>
  <c r="M8" i="6"/>
  <c r="L8" i="6"/>
  <c r="K8" i="6"/>
  <c r="J8" i="6"/>
  <c r="I8" i="6"/>
  <c r="H8" i="6"/>
  <c r="G8" i="6"/>
  <c r="F8" i="6"/>
  <c r="E8" i="6"/>
  <c r="D8" i="6"/>
  <c r="C8" i="6"/>
  <c r="N7" i="6"/>
  <c r="M7" i="6"/>
  <c r="L7" i="6"/>
  <c r="K7" i="6"/>
  <c r="J7" i="6"/>
  <c r="I7" i="6"/>
  <c r="H7" i="6"/>
  <c r="G7" i="6"/>
  <c r="F7" i="6"/>
  <c r="E7" i="6"/>
  <c r="D7" i="6"/>
  <c r="C7" i="6"/>
  <c r="N6" i="6"/>
  <c r="M6" i="6"/>
  <c r="L6" i="6"/>
  <c r="K6" i="6"/>
  <c r="J6" i="6"/>
  <c r="I6" i="6"/>
  <c r="H6" i="6"/>
  <c r="G6" i="6"/>
  <c r="F6" i="6"/>
  <c r="E6" i="6"/>
  <c r="D6" i="6"/>
  <c r="C6" i="6"/>
  <c r="N5" i="6"/>
  <c r="M5" i="6"/>
  <c r="L5" i="6"/>
  <c r="K5" i="6"/>
  <c r="J5" i="6"/>
  <c r="I5" i="6"/>
  <c r="H5" i="6"/>
  <c r="G5" i="6"/>
  <c r="F5" i="6"/>
  <c r="E5" i="6"/>
  <c r="D5" i="6"/>
  <c r="C5" i="6"/>
  <c r="O21" i="5"/>
  <c r="N19" i="5"/>
  <c r="M19" i="5"/>
  <c r="L19" i="5"/>
  <c r="K19" i="5"/>
  <c r="J19" i="5"/>
  <c r="I19" i="5"/>
  <c r="H19" i="5"/>
  <c r="G19" i="5"/>
  <c r="F19" i="5"/>
  <c r="E19" i="5"/>
  <c r="D19" i="5"/>
  <c r="C19" i="5"/>
  <c r="N15" i="5"/>
  <c r="M15" i="5"/>
  <c r="L15" i="5"/>
  <c r="K15" i="5"/>
  <c r="J15" i="5"/>
  <c r="I15" i="5"/>
  <c r="H15" i="5"/>
  <c r="G15" i="5"/>
  <c r="F15" i="5"/>
  <c r="E15" i="5"/>
  <c r="D15" i="5"/>
  <c r="C15" i="5"/>
  <c r="N14" i="5"/>
  <c r="M14" i="5"/>
  <c r="L14" i="5"/>
  <c r="K14" i="5"/>
  <c r="J14" i="5"/>
  <c r="I14" i="5"/>
  <c r="H14" i="5"/>
  <c r="G14" i="5"/>
  <c r="F14" i="5"/>
  <c r="E14" i="5"/>
  <c r="D14" i="5"/>
  <c r="C14" i="5"/>
  <c r="N13" i="5"/>
  <c r="M13" i="5"/>
  <c r="L13" i="5"/>
  <c r="K13" i="5"/>
  <c r="J13" i="5"/>
  <c r="I13" i="5"/>
  <c r="H13" i="5"/>
  <c r="G13" i="5"/>
  <c r="F13" i="5"/>
  <c r="E13" i="5"/>
  <c r="D13" i="5"/>
  <c r="C13" i="5"/>
  <c r="N12" i="5"/>
  <c r="M12" i="5"/>
  <c r="L12" i="5"/>
  <c r="K12" i="5"/>
  <c r="J12" i="5"/>
  <c r="I12" i="5"/>
  <c r="H12" i="5"/>
  <c r="G12" i="5"/>
  <c r="F12" i="5"/>
  <c r="E12" i="5"/>
  <c r="D12" i="5"/>
  <c r="C12" i="5"/>
  <c r="N11" i="5"/>
  <c r="M11" i="5"/>
  <c r="L11" i="5"/>
  <c r="K11" i="5"/>
  <c r="J11" i="5"/>
  <c r="I11" i="5"/>
  <c r="H11" i="5"/>
  <c r="G11" i="5"/>
  <c r="F11" i="5"/>
  <c r="E11" i="5"/>
  <c r="D11" i="5"/>
  <c r="C11" i="5"/>
  <c r="N7" i="5"/>
  <c r="M7" i="5"/>
  <c r="L7" i="5"/>
  <c r="K7" i="5"/>
  <c r="J7" i="5"/>
  <c r="I7" i="5"/>
  <c r="H7" i="5"/>
  <c r="G7" i="5"/>
  <c r="F7" i="5"/>
  <c r="E7" i="5"/>
  <c r="D7" i="5"/>
  <c r="C7" i="5"/>
  <c r="N11" i="4"/>
  <c r="M11" i="4"/>
  <c r="L11" i="4"/>
  <c r="K11" i="4"/>
  <c r="J11" i="4"/>
  <c r="I11" i="4"/>
  <c r="H11" i="4"/>
  <c r="G11" i="4"/>
  <c r="F11" i="4"/>
  <c r="E11" i="4"/>
  <c r="D11" i="4"/>
  <c r="C11" i="4"/>
  <c r="N10" i="4"/>
  <c r="M10" i="4"/>
  <c r="L10" i="4"/>
  <c r="K10" i="4"/>
  <c r="J10" i="4"/>
  <c r="I10" i="4"/>
  <c r="H10" i="4"/>
  <c r="G10" i="4"/>
  <c r="F10" i="4"/>
  <c r="E10" i="4"/>
  <c r="D10" i="4"/>
  <c r="C10" i="4"/>
  <c r="N9" i="4"/>
  <c r="M9" i="4"/>
  <c r="L9" i="4"/>
  <c r="K9" i="4"/>
  <c r="J9" i="4"/>
  <c r="I9" i="4"/>
  <c r="H9" i="4"/>
  <c r="G9" i="4"/>
  <c r="F9" i="4"/>
  <c r="E9" i="4"/>
  <c r="D9" i="4"/>
  <c r="C9" i="4"/>
  <c r="N8" i="4"/>
  <c r="M8" i="4"/>
  <c r="L8" i="4"/>
  <c r="K8" i="4"/>
  <c r="J8" i="4"/>
  <c r="I8" i="4"/>
  <c r="H8" i="4"/>
  <c r="G8" i="4"/>
  <c r="F8" i="4"/>
  <c r="E8" i="4"/>
  <c r="D8" i="4"/>
  <c r="C8" i="4"/>
  <c r="N7" i="4"/>
  <c r="M7" i="4"/>
  <c r="L7" i="4"/>
  <c r="K7" i="4"/>
  <c r="J7" i="4"/>
  <c r="I7" i="4"/>
  <c r="H7" i="4"/>
  <c r="G7" i="4"/>
  <c r="F7" i="4"/>
  <c r="E7" i="4"/>
  <c r="D7" i="4"/>
  <c r="C7" i="4"/>
  <c r="N6" i="4"/>
  <c r="M6" i="4"/>
  <c r="L6" i="4"/>
  <c r="K6" i="4"/>
  <c r="J6" i="4"/>
  <c r="I6" i="4"/>
  <c r="H6" i="4"/>
  <c r="G6" i="4"/>
  <c r="F6" i="4"/>
  <c r="E6" i="4"/>
  <c r="D6" i="4"/>
  <c r="C6" i="4"/>
  <c r="N5" i="4"/>
  <c r="M5" i="4"/>
  <c r="L5" i="4"/>
  <c r="K5" i="4"/>
  <c r="J5" i="4"/>
  <c r="I5" i="4"/>
  <c r="H5" i="4"/>
  <c r="G5" i="4"/>
  <c r="F5" i="4"/>
  <c r="E5" i="4"/>
  <c r="D5" i="4"/>
  <c r="C5" i="4"/>
  <c r="N4" i="4"/>
  <c r="M4" i="4"/>
  <c r="L4" i="4"/>
  <c r="K4" i="4"/>
  <c r="J4" i="4"/>
  <c r="I4" i="4"/>
  <c r="H4" i="4"/>
  <c r="G4" i="4"/>
  <c r="F4" i="4"/>
  <c r="E4" i="4"/>
  <c r="D4" i="4"/>
  <c r="C4" i="4"/>
  <c r="N53" i="2"/>
  <c r="M53" i="2"/>
  <c r="L53" i="2"/>
  <c r="K53" i="2"/>
  <c r="J53" i="2"/>
  <c r="I53" i="2"/>
  <c r="H53" i="2"/>
  <c r="G53" i="2"/>
  <c r="F53" i="2"/>
  <c r="E53" i="2"/>
  <c r="D53" i="2"/>
  <c r="C53" i="2"/>
  <c r="N38" i="2"/>
  <c r="M38" i="2"/>
  <c r="L38" i="2"/>
  <c r="K38" i="2"/>
  <c r="J38" i="2"/>
  <c r="I38" i="2"/>
  <c r="H38" i="2"/>
  <c r="G38" i="2"/>
  <c r="F38" i="2"/>
  <c r="E38" i="2"/>
  <c r="D38" i="2"/>
  <c r="C38" i="2"/>
  <c r="N23" i="2"/>
  <c r="M23" i="2"/>
  <c r="L23" i="2"/>
  <c r="K23" i="2"/>
  <c r="J23" i="2"/>
  <c r="I23" i="2"/>
  <c r="H23" i="2"/>
  <c r="G23" i="2"/>
  <c r="F23" i="2"/>
  <c r="E23" i="2"/>
  <c r="D23" i="2"/>
  <c r="C23" i="2"/>
  <c r="O94" i="3"/>
  <c r="O93" i="3"/>
  <c r="O92" i="3"/>
  <c r="O91" i="3"/>
  <c r="O90" i="3"/>
  <c r="P83" i="3"/>
  <c r="O83" i="3"/>
  <c r="N82" i="3"/>
  <c r="M82" i="3"/>
  <c r="L82" i="3"/>
  <c r="K82" i="3"/>
  <c r="J82" i="3"/>
  <c r="I82" i="3"/>
  <c r="H82" i="3"/>
  <c r="G82" i="3"/>
  <c r="F82" i="3"/>
  <c r="E82" i="3"/>
  <c r="D82" i="3"/>
  <c r="C82" i="3"/>
  <c r="P81" i="3"/>
  <c r="O81" i="3"/>
  <c r="P80" i="3"/>
  <c r="O80" i="3"/>
  <c r="P79" i="3"/>
  <c r="O79" i="3"/>
  <c r="P78" i="3"/>
  <c r="O78" i="3"/>
  <c r="P77" i="3"/>
  <c r="O77" i="3"/>
  <c r="P76" i="3"/>
  <c r="O76" i="3"/>
  <c r="P75" i="3"/>
  <c r="O75" i="3"/>
  <c r="P74" i="3"/>
  <c r="O74" i="3"/>
  <c r="P73" i="3"/>
  <c r="O73" i="3"/>
  <c r="P72" i="3"/>
  <c r="O72" i="3"/>
  <c r="P71" i="3"/>
  <c r="O71" i="3"/>
  <c r="P70" i="3"/>
  <c r="O70" i="3"/>
  <c r="P69" i="3"/>
  <c r="O69" i="3"/>
  <c r="C59" i="3"/>
  <c r="N51" i="3"/>
  <c r="M51" i="3"/>
  <c r="L51" i="3"/>
  <c r="K51" i="3"/>
  <c r="J51" i="3"/>
  <c r="I51" i="3"/>
  <c r="H51" i="3"/>
  <c r="G51" i="3"/>
  <c r="F51" i="3"/>
  <c r="E51" i="3"/>
  <c r="D51" i="3"/>
  <c r="C51" i="3"/>
  <c r="O50" i="3"/>
  <c r="O49" i="3"/>
  <c r="O48" i="3"/>
  <c r="O47" i="3"/>
  <c r="O46" i="3"/>
  <c r="O45" i="3"/>
  <c r="O44" i="3"/>
  <c r="N34" i="3"/>
  <c r="M34" i="3"/>
  <c r="L34" i="3"/>
  <c r="K34" i="3"/>
  <c r="J34" i="3"/>
  <c r="I34" i="3"/>
  <c r="H34" i="3"/>
  <c r="G34" i="3"/>
  <c r="F34" i="3"/>
  <c r="E34" i="3"/>
  <c r="D34" i="3"/>
  <c r="C34" i="3"/>
  <c r="P31" i="3"/>
  <c r="N31" i="3"/>
  <c r="M31" i="3"/>
  <c r="L31" i="3"/>
  <c r="K31" i="3"/>
  <c r="J31" i="3"/>
  <c r="I31" i="3"/>
  <c r="H31" i="3"/>
  <c r="G31" i="3"/>
  <c r="F31" i="3"/>
  <c r="E31" i="3"/>
  <c r="D31" i="3"/>
  <c r="C31" i="3"/>
  <c r="O30" i="3"/>
  <c r="O29" i="3"/>
  <c r="O28" i="3"/>
  <c r="O27" i="3"/>
  <c r="O26" i="3"/>
  <c r="O25" i="3"/>
  <c r="O24" i="3"/>
  <c r="O23" i="3"/>
  <c r="O22" i="3"/>
  <c r="O21" i="3"/>
  <c r="P16" i="3"/>
  <c r="N16" i="3"/>
  <c r="M16" i="3"/>
  <c r="L16" i="3"/>
  <c r="K16" i="3"/>
  <c r="J16" i="3"/>
  <c r="I16" i="3"/>
  <c r="H16" i="3"/>
  <c r="G16" i="3"/>
  <c r="F16" i="3"/>
  <c r="E16" i="3"/>
  <c r="D16" i="3"/>
  <c r="C16" i="3"/>
  <c r="O15" i="3"/>
  <c r="O14" i="3"/>
  <c r="O13" i="3"/>
  <c r="O12" i="3"/>
  <c r="O11" i="3"/>
  <c r="O10" i="3"/>
  <c r="O9" i="3"/>
  <c r="O8" i="3"/>
  <c r="Q7" i="3"/>
  <c r="B3" i="3"/>
  <c r="O55" i="10" l="1"/>
  <c r="O38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N27" i="10"/>
  <c r="M27" i="10"/>
  <c r="L27" i="10"/>
  <c r="K27" i="10"/>
  <c r="J27" i="10"/>
  <c r="I27" i="10"/>
  <c r="H27" i="10"/>
  <c r="G27" i="10"/>
  <c r="F27" i="10"/>
  <c r="E27" i="10"/>
  <c r="D27" i="10"/>
  <c r="C27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N24" i="10"/>
  <c r="M24" i="10"/>
  <c r="L24" i="10"/>
  <c r="K24" i="10"/>
  <c r="J24" i="10"/>
  <c r="I24" i="10"/>
  <c r="H24" i="10"/>
  <c r="G24" i="10"/>
  <c r="F24" i="10"/>
  <c r="E24" i="10"/>
  <c r="D24" i="10"/>
  <c r="C24" i="10"/>
  <c r="N23" i="10"/>
  <c r="M23" i="10"/>
  <c r="L23" i="10"/>
  <c r="K23" i="10"/>
  <c r="J23" i="10"/>
  <c r="I23" i="10"/>
  <c r="H23" i="10"/>
  <c r="G23" i="10"/>
  <c r="F23" i="10"/>
  <c r="E23" i="10"/>
  <c r="D23" i="10"/>
  <c r="C23" i="10"/>
  <c r="N22" i="10"/>
  <c r="M22" i="10"/>
  <c r="L22" i="10"/>
  <c r="K22" i="10"/>
  <c r="J22" i="10"/>
  <c r="C32" i="8"/>
  <c r="O34" i="10"/>
  <c r="O33" i="10"/>
  <c r="O28" i="10"/>
  <c r="O27" i="10"/>
  <c r="O26" i="10"/>
  <c r="N25" i="10"/>
  <c r="M25" i="10"/>
  <c r="D24" i="8" s="1"/>
  <c r="L25" i="10"/>
  <c r="K25" i="10"/>
  <c r="O24" i="10"/>
  <c r="L39" i="10"/>
  <c r="K39" i="10"/>
  <c r="J39" i="10"/>
  <c r="I39" i="10"/>
  <c r="H39" i="10"/>
  <c r="G39" i="10"/>
  <c r="F39" i="10"/>
  <c r="E39" i="10"/>
  <c r="D39" i="10"/>
  <c r="C39" i="10"/>
  <c r="O39" i="10" s="1"/>
  <c r="I22" i="10"/>
  <c r="I25" i="10" s="1"/>
  <c r="H22" i="10"/>
  <c r="G22" i="10"/>
  <c r="F22" i="10"/>
  <c r="E22" i="10"/>
  <c r="D22" i="10"/>
  <c r="C22" i="10"/>
  <c r="N14" i="10"/>
  <c r="M14" i="10"/>
  <c r="L14" i="10"/>
  <c r="K14" i="10"/>
  <c r="J14" i="10"/>
  <c r="I14" i="10"/>
  <c r="H14" i="10"/>
  <c r="G14" i="10"/>
  <c r="F14" i="10"/>
  <c r="E14" i="10"/>
  <c r="D14" i="10"/>
  <c r="C14" i="10"/>
  <c r="O14" i="10" s="1"/>
  <c r="N13" i="10"/>
  <c r="M13" i="10"/>
  <c r="L13" i="10"/>
  <c r="K13" i="10"/>
  <c r="J13" i="10"/>
  <c r="I13" i="10"/>
  <c r="H13" i="10"/>
  <c r="G13" i="10"/>
  <c r="F13" i="10"/>
  <c r="E13" i="10"/>
  <c r="D13" i="10"/>
  <c r="C13" i="10"/>
  <c r="O10" i="10"/>
  <c r="O9" i="10"/>
  <c r="O8" i="10"/>
  <c r="O7" i="10"/>
  <c r="O6" i="10"/>
  <c r="O5" i="10"/>
  <c r="C49" i="9"/>
  <c r="C48" i="9"/>
  <c r="C46" i="9"/>
  <c r="F36" i="9"/>
  <c r="G36" i="9" s="1"/>
  <c r="E36" i="9"/>
  <c r="I27" i="9"/>
  <c r="F30" i="8"/>
  <c r="G30" i="8" s="1"/>
  <c r="F29" i="8"/>
  <c r="G29" i="8" s="1"/>
  <c r="D28" i="8"/>
  <c r="C28" i="8"/>
  <c r="F28" i="8" s="1"/>
  <c r="D23" i="8"/>
  <c r="C23" i="8"/>
  <c r="F23" i="8" s="1"/>
  <c r="C22" i="8"/>
  <c r="F22" i="8" s="1"/>
  <c r="G22" i="8" s="1"/>
  <c r="O12" i="7"/>
  <c r="H55" i="9"/>
  <c r="G55" i="9"/>
  <c r="F55" i="9"/>
  <c r="E55" i="9"/>
  <c r="D55" i="9"/>
  <c r="C55" i="9"/>
  <c r="H54" i="9"/>
  <c r="G54" i="9"/>
  <c r="F54" i="9"/>
  <c r="E54" i="9"/>
  <c r="D54" i="9"/>
  <c r="C54" i="9"/>
  <c r="H14" i="9"/>
  <c r="G14" i="9"/>
  <c r="F14" i="9"/>
  <c r="E14" i="9"/>
  <c r="D14" i="9"/>
  <c r="C14" i="9"/>
  <c r="I14" i="9" s="1"/>
  <c r="I9" i="9"/>
  <c r="H9" i="9"/>
  <c r="F9" i="9"/>
  <c r="E9" i="9"/>
  <c r="D37" i="8"/>
  <c r="C37" i="8"/>
  <c r="F37" i="8" s="1"/>
  <c r="G37" i="8" s="1"/>
  <c r="F36" i="8"/>
  <c r="G36" i="8" s="1"/>
  <c r="F35" i="8"/>
  <c r="G35" i="8" s="1"/>
  <c r="F34" i="8"/>
  <c r="G34" i="8" s="1"/>
  <c r="F32" i="8"/>
  <c r="G32" i="8" s="1"/>
  <c r="F31" i="8"/>
  <c r="G31" i="8" s="1"/>
  <c r="D22" i="8"/>
  <c r="D21" i="8"/>
  <c r="C21" i="8"/>
  <c r="F21" i="8" s="1"/>
  <c r="G21" i="8" s="1"/>
  <c r="F5" i="8"/>
  <c r="G5" i="8" s="1"/>
  <c r="N11" i="7"/>
  <c r="M11" i="7"/>
  <c r="L11" i="7"/>
  <c r="K11" i="7"/>
  <c r="J11" i="7"/>
  <c r="I11" i="7"/>
  <c r="H11" i="7"/>
  <c r="G11" i="7"/>
  <c r="F11" i="7"/>
  <c r="E11" i="7"/>
  <c r="D11" i="7"/>
  <c r="C11" i="7"/>
  <c r="O11" i="7" s="1"/>
  <c r="N10" i="7"/>
  <c r="M10" i="7"/>
  <c r="L10" i="7"/>
  <c r="K10" i="7"/>
  <c r="J10" i="7"/>
  <c r="I10" i="7"/>
  <c r="H10" i="7"/>
  <c r="G10" i="7"/>
  <c r="F10" i="7"/>
  <c r="E10" i="7"/>
  <c r="D10" i="7"/>
  <c r="C10" i="7"/>
  <c r="O10" i="7" s="1"/>
  <c r="O9" i="7"/>
  <c r="O8" i="7"/>
  <c r="O6" i="7"/>
  <c r="O5" i="7"/>
  <c r="O4" i="7"/>
  <c r="N17" i="6"/>
  <c r="M17" i="6"/>
  <c r="L17" i="6"/>
  <c r="K17" i="6"/>
  <c r="J17" i="6"/>
  <c r="I17" i="6"/>
  <c r="H17" i="6"/>
  <c r="O16" i="6"/>
  <c r="M68" i="3"/>
  <c r="J68" i="3"/>
  <c r="G68" i="3"/>
  <c r="E68" i="3"/>
  <c r="N32" i="3"/>
  <c r="L32" i="3"/>
  <c r="I32" i="3"/>
  <c r="D32" i="3"/>
  <c r="M17" i="3"/>
  <c r="M59" i="3" s="1"/>
  <c r="I17" i="3"/>
  <c r="I59" i="3" s="1"/>
  <c r="G17" i="3"/>
  <c r="G59" i="3" s="1"/>
  <c r="D17" i="3"/>
  <c r="D59" i="3" s="1"/>
  <c r="O16" i="3"/>
  <c r="O43" i="10"/>
  <c r="O40" i="10"/>
  <c r="O15" i="6"/>
  <c r="N13" i="6"/>
  <c r="M13" i="6"/>
  <c r="L13" i="6"/>
  <c r="K13" i="6"/>
  <c r="J13" i="6"/>
  <c r="I13" i="6"/>
  <c r="H13" i="6"/>
  <c r="G13" i="6"/>
  <c r="F13" i="6"/>
  <c r="E13" i="6"/>
  <c r="D13" i="6"/>
  <c r="C13" i="6"/>
  <c r="O13" i="6" s="1"/>
  <c r="O12" i="6"/>
  <c r="N10" i="6"/>
  <c r="M10" i="6"/>
  <c r="L10" i="6"/>
  <c r="K10" i="6"/>
  <c r="J10" i="6"/>
  <c r="I10" i="6"/>
  <c r="H10" i="6"/>
  <c r="G10" i="6"/>
  <c r="F10" i="6"/>
  <c r="E10" i="6"/>
  <c r="D10" i="6"/>
  <c r="C10" i="6"/>
  <c r="O9" i="6"/>
  <c r="O8" i="6"/>
  <c r="O7" i="6"/>
  <c r="O6" i="6"/>
  <c r="O5" i="6"/>
  <c r="N30" i="5"/>
  <c r="M30" i="5"/>
  <c r="D17" i="8" s="1"/>
  <c r="L30" i="5"/>
  <c r="K30" i="5"/>
  <c r="J30" i="5"/>
  <c r="I30" i="5"/>
  <c r="H30" i="5"/>
  <c r="H22" i="9" s="1"/>
  <c r="G30" i="5"/>
  <c r="G22" i="9" s="1"/>
  <c r="F30" i="5"/>
  <c r="F22" i="9" s="1"/>
  <c r="E30" i="5"/>
  <c r="E22" i="9" s="1"/>
  <c r="D30" i="5"/>
  <c r="D22" i="9" s="1"/>
  <c r="C30" i="5"/>
  <c r="O19" i="5"/>
  <c r="M16" i="5"/>
  <c r="L16" i="5"/>
  <c r="J16" i="5"/>
  <c r="H16" i="5"/>
  <c r="F16" i="5"/>
  <c r="D16" i="5"/>
  <c r="O15" i="5"/>
  <c r="O14" i="5"/>
  <c r="O13" i="5"/>
  <c r="O50" i="10"/>
  <c r="N16" i="5"/>
  <c r="K16" i="5"/>
  <c r="I16" i="5"/>
  <c r="G16" i="5"/>
  <c r="E16" i="5"/>
  <c r="C16" i="5"/>
  <c r="N68" i="3"/>
  <c r="P68" i="3" s="1"/>
  <c r="D68" i="3"/>
  <c r="L39" i="3"/>
  <c r="L64" i="3" s="1"/>
  <c r="J39" i="3"/>
  <c r="J64" i="3" s="1"/>
  <c r="I39" i="3"/>
  <c r="I64" i="3" s="1"/>
  <c r="F39" i="3"/>
  <c r="F64" i="3" s="1"/>
  <c r="J32" i="3"/>
  <c r="F32" i="3"/>
  <c r="C32" i="3"/>
  <c r="O31" i="3"/>
  <c r="L17" i="3"/>
  <c r="L59" i="3" s="1"/>
  <c r="H17" i="3"/>
  <c r="H59" i="3" s="1"/>
  <c r="E17" i="3"/>
  <c r="E59" i="3" s="1"/>
  <c r="O35" i="10"/>
  <c r="O12" i="5"/>
  <c r="O11" i="5"/>
  <c r="O7" i="5"/>
  <c r="N5" i="5"/>
  <c r="N8" i="5" s="1"/>
  <c r="M5" i="5"/>
  <c r="M8" i="5" s="1"/>
  <c r="L5" i="5"/>
  <c r="L8" i="5" s="1"/>
  <c r="K5" i="5"/>
  <c r="K8" i="5" s="1"/>
  <c r="J5" i="5"/>
  <c r="J8" i="5" s="1"/>
  <c r="I5" i="5"/>
  <c r="I8" i="5" s="1"/>
  <c r="H5" i="5"/>
  <c r="H8" i="5" s="1"/>
  <c r="G5" i="5"/>
  <c r="G8" i="5" s="1"/>
  <c r="F5" i="5"/>
  <c r="F8" i="5" s="1"/>
  <c r="E5" i="5"/>
  <c r="E8" i="5" s="1"/>
  <c r="D5" i="5"/>
  <c r="D8" i="5" s="1"/>
  <c r="C5" i="5"/>
  <c r="N12" i="4"/>
  <c r="M12" i="4"/>
  <c r="L12" i="4"/>
  <c r="K12" i="4"/>
  <c r="J12" i="4"/>
  <c r="I12" i="4"/>
  <c r="H12" i="4"/>
  <c r="G12" i="4"/>
  <c r="F12" i="4"/>
  <c r="E12" i="4"/>
  <c r="D12" i="4"/>
  <c r="C12" i="4"/>
  <c r="O12" i="4" s="1"/>
  <c r="O13" i="4" s="1"/>
  <c r="O11" i="4"/>
  <c r="O10" i="4"/>
  <c r="O9" i="4"/>
  <c r="O8" i="4"/>
  <c r="O7" i="4"/>
  <c r="O6" i="4"/>
  <c r="J84" i="3"/>
  <c r="H84" i="3"/>
  <c r="E84" i="3"/>
  <c r="C84" i="3"/>
  <c r="O82" i="3"/>
  <c r="K68" i="3"/>
  <c r="H68" i="3"/>
  <c r="C39" i="3"/>
  <c r="O42" i="10"/>
  <c r="O37" i="10"/>
  <c r="O5" i="4"/>
  <c r="O4" i="4"/>
  <c r="N85" i="3"/>
  <c r="P85" i="3" s="1"/>
  <c r="E37" i="8" s="1"/>
  <c r="M85" i="3"/>
  <c r="L85" i="3"/>
  <c r="K85" i="3"/>
  <c r="J85" i="3"/>
  <c r="I85" i="3"/>
  <c r="H85" i="3"/>
  <c r="G85" i="3"/>
  <c r="F85" i="3"/>
  <c r="E85" i="3"/>
  <c r="D85" i="3"/>
  <c r="C85" i="3"/>
  <c r="O85" i="3" s="1"/>
  <c r="N84" i="3"/>
  <c r="P84" i="3" s="1"/>
  <c r="E36" i="8" s="1"/>
  <c r="M84" i="3"/>
  <c r="L84" i="3"/>
  <c r="K84" i="3"/>
  <c r="I84" i="3"/>
  <c r="G84" i="3"/>
  <c r="F84" i="3"/>
  <c r="D84" i="3"/>
  <c r="P82" i="3"/>
  <c r="E34" i="8" s="1"/>
  <c r="L68" i="3"/>
  <c r="I68" i="3"/>
  <c r="F68" i="3"/>
  <c r="C68" i="3"/>
  <c r="M39" i="3"/>
  <c r="M64" i="3" s="1"/>
  <c r="H39" i="3"/>
  <c r="H64" i="3" s="1"/>
  <c r="E39" i="3"/>
  <c r="E64" i="3" s="1"/>
  <c r="D39" i="3"/>
  <c r="D64" i="3" s="1"/>
  <c r="O34" i="3"/>
  <c r="M32" i="3"/>
  <c r="K32" i="3"/>
  <c r="H32" i="3"/>
  <c r="G32" i="3"/>
  <c r="E32" i="3"/>
  <c r="N17" i="3"/>
  <c r="N59" i="3" s="1"/>
  <c r="K17" i="3"/>
  <c r="K59" i="3" s="1"/>
  <c r="J17" i="3"/>
  <c r="J59" i="3" s="1"/>
  <c r="F17" i="3"/>
  <c r="F59" i="3" s="1"/>
  <c r="O41" i="10"/>
  <c r="O36" i="10"/>
  <c r="N65" i="3"/>
  <c r="P65" i="3" s="1"/>
  <c r="E14" i="8" s="1"/>
  <c r="M65" i="3"/>
  <c r="L65" i="3"/>
  <c r="K65" i="3"/>
  <c r="J65" i="3"/>
  <c r="I65" i="3"/>
  <c r="H65" i="3"/>
  <c r="G65" i="3"/>
  <c r="F65" i="3"/>
  <c r="E65" i="3"/>
  <c r="D65" i="3"/>
  <c r="C65" i="3"/>
  <c r="N58" i="3"/>
  <c r="P58" i="3" s="1"/>
  <c r="E5" i="8" s="1"/>
  <c r="M58" i="3"/>
  <c r="L58" i="3"/>
  <c r="K58" i="3"/>
  <c r="J58" i="3"/>
  <c r="I58" i="3"/>
  <c r="H58" i="3"/>
  <c r="G58" i="3"/>
  <c r="F58" i="3"/>
  <c r="E58" i="3"/>
  <c r="D58" i="3"/>
  <c r="C58" i="3"/>
  <c r="N52" i="3"/>
  <c r="M52" i="3"/>
  <c r="L52" i="3"/>
  <c r="K52" i="3"/>
  <c r="J52" i="3"/>
  <c r="I52" i="3"/>
  <c r="H52" i="3"/>
  <c r="G52" i="3"/>
  <c r="F52" i="3"/>
  <c r="E52" i="3"/>
  <c r="D52" i="3"/>
  <c r="C52" i="3"/>
  <c r="P51" i="3"/>
  <c r="D41" i="9" s="1"/>
  <c r="O51" i="3"/>
  <c r="N39" i="3"/>
  <c r="K39" i="3"/>
  <c r="K64" i="3" s="1"/>
  <c r="G39" i="3"/>
  <c r="G64" i="3" s="1"/>
  <c r="G28" i="8" l="1"/>
  <c r="G23" i="8"/>
  <c r="J25" i="10"/>
  <c r="O23" i="10"/>
  <c r="G9" i="9"/>
  <c r="C24" i="8"/>
  <c r="F24" i="8" s="1"/>
  <c r="G24" i="8" s="1"/>
  <c r="C47" i="9"/>
  <c r="H25" i="10"/>
  <c r="H26" i="9" s="1"/>
  <c r="H25" i="9"/>
  <c r="G25" i="10"/>
  <c r="G26" i="9" s="1"/>
  <c r="G25" i="9"/>
  <c r="F25" i="10"/>
  <c r="F26" i="9" s="1"/>
  <c r="F25" i="9"/>
  <c r="E25" i="10"/>
  <c r="E26" i="9" s="1"/>
  <c r="E25" i="9"/>
  <c r="D25" i="10"/>
  <c r="D26" i="9" s="1"/>
  <c r="D25" i="9"/>
  <c r="O22" i="10"/>
  <c r="C25" i="10"/>
  <c r="C25" i="9"/>
  <c r="I25" i="9" s="1"/>
  <c r="N15" i="10"/>
  <c r="N18" i="10" s="1"/>
  <c r="N16" i="10"/>
  <c r="C25" i="8" s="1"/>
  <c r="F25" i="8" s="1"/>
  <c r="G25" i="8" s="1"/>
  <c r="M15" i="10"/>
  <c r="M18" i="10" s="1"/>
  <c r="M16" i="10"/>
  <c r="D25" i="8" s="1"/>
  <c r="L15" i="10"/>
  <c r="L18" i="10" s="1"/>
  <c r="L16" i="10"/>
  <c r="K15" i="10"/>
  <c r="K18" i="10" s="1"/>
  <c r="K16" i="10"/>
  <c r="J15" i="10"/>
  <c r="J18" i="10" s="1"/>
  <c r="J16" i="10"/>
  <c r="I15" i="10"/>
  <c r="I18" i="10" s="1"/>
  <c r="I16" i="10"/>
  <c r="H15" i="10"/>
  <c r="H18" i="10" s="1"/>
  <c r="H16" i="10"/>
  <c r="G15" i="10"/>
  <c r="G18" i="10" s="1"/>
  <c r="G16" i="10"/>
  <c r="F15" i="10"/>
  <c r="F18" i="10" s="1"/>
  <c r="F16" i="10"/>
  <c r="E15" i="10"/>
  <c r="E18" i="10" s="1"/>
  <c r="E16" i="10"/>
  <c r="D15" i="10"/>
  <c r="D18" i="10" s="1"/>
  <c r="D16" i="10"/>
  <c r="O13" i="10"/>
  <c r="C15" i="10"/>
  <c r="C16" i="10"/>
  <c r="E49" i="9"/>
  <c r="F49" i="9"/>
  <c r="G49" i="9" s="1"/>
  <c r="E48" i="9"/>
  <c r="F48" i="9"/>
  <c r="G48" i="9" s="1"/>
  <c r="E46" i="9"/>
  <c r="F46" i="9"/>
  <c r="G46" i="9" s="1"/>
  <c r="N33" i="3"/>
  <c r="N35" i="3"/>
  <c r="L33" i="3"/>
  <c r="L60" i="3" s="1"/>
  <c r="L35" i="3"/>
  <c r="I33" i="3"/>
  <c r="I60" i="3" s="1"/>
  <c r="I35" i="3"/>
  <c r="D33" i="3"/>
  <c r="D60" i="3" s="1"/>
  <c r="D35" i="3"/>
  <c r="N18" i="6"/>
  <c r="N20" i="6" s="1"/>
  <c r="N27" i="5"/>
  <c r="N28" i="5"/>
  <c r="M18" i="6"/>
  <c r="M20" i="6" s="1"/>
  <c r="M27" i="5"/>
  <c r="D14" i="8" s="1"/>
  <c r="M28" i="5"/>
  <c r="D15" i="8" s="1"/>
  <c r="L18" i="6"/>
  <c r="L20" i="6" s="1"/>
  <c r="L21" i="6" s="1"/>
  <c r="L27" i="5"/>
  <c r="L28" i="5"/>
  <c r="K18" i="6"/>
  <c r="K20" i="6" s="1"/>
  <c r="K21" i="6" s="1"/>
  <c r="K27" i="5"/>
  <c r="K28" i="5"/>
  <c r="J18" i="6"/>
  <c r="J20" i="6" s="1"/>
  <c r="J21" i="6" s="1"/>
  <c r="J27" i="5"/>
  <c r="J28" i="5"/>
  <c r="I18" i="6"/>
  <c r="I20" i="6" s="1"/>
  <c r="I21" i="6" s="1"/>
  <c r="I27" i="5"/>
  <c r="I28" i="5"/>
  <c r="H18" i="6"/>
  <c r="H20" i="6" s="1"/>
  <c r="H27" i="5"/>
  <c r="H17" i="9" s="1"/>
  <c r="H28" i="5"/>
  <c r="H18" i="9" s="1"/>
  <c r="G18" i="6"/>
  <c r="G20" i="6" s="1"/>
  <c r="G27" i="5"/>
  <c r="G17" i="9" s="1"/>
  <c r="G28" i="5"/>
  <c r="G18" i="9" s="1"/>
  <c r="F18" i="6"/>
  <c r="F20" i="6" s="1"/>
  <c r="F27" i="5"/>
  <c r="F17" i="9" s="1"/>
  <c r="F28" i="5"/>
  <c r="F18" i="9" s="1"/>
  <c r="E18" i="6"/>
  <c r="E20" i="6" s="1"/>
  <c r="E27" i="5"/>
  <c r="E17" i="9" s="1"/>
  <c r="E28" i="5"/>
  <c r="E18" i="9" s="1"/>
  <c r="D18" i="6"/>
  <c r="D20" i="6" s="1"/>
  <c r="D27" i="5"/>
  <c r="D17" i="9" s="1"/>
  <c r="D28" i="5"/>
  <c r="D18" i="9" s="1"/>
  <c r="O10" i="6"/>
  <c r="C18" i="6"/>
  <c r="C27" i="5"/>
  <c r="C28" i="5"/>
  <c r="C9" i="9"/>
  <c r="C17" i="8"/>
  <c r="F17" i="8" s="1"/>
  <c r="G17" i="8" s="1"/>
  <c r="C44" i="9"/>
  <c r="O30" i="5"/>
  <c r="C22" i="9"/>
  <c r="I22" i="9" s="1"/>
  <c r="M31" i="5"/>
  <c r="D12" i="8" s="1"/>
  <c r="M54" i="10"/>
  <c r="L31" i="5"/>
  <c r="L54" i="10"/>
  <c r="J31" i="5"/>
  <c r="J54" i="10"/>
  <c r="H31" i="5"/>
  <c r="H23" i="9" s="1"/>
  <c r="H54" i="10"/>
  <c r="F31" i="5"/>
  <c r="F23" i="9" s="1"/>
  <c r="F54" i="10"/>
  <c r="D31" i="5"/>
  <c r="D23" i="9" s="1"/>
  <c r="D54" i="10"/>
  <c r="N31" i="5"/>
  <c r="N54" i="10"/>
  <c r="K31" i="5"/>
  <c r="K54" i="10"/>
  <c r="I31" i="5"/>
  <c r="I54" i="10"/>
  <c r="G31" i="5"/>
  <c r="G23" i="9" s="1"/>
  <c r="G54" i="10"/>
  <c r="E31" i="5"/>
  <c r="E23" i="9" s="1"/>
  <c r="E54" i="10"/>
  <c r="O16" i="5"/>
  <c r="C31" i="5"/>
  <c r="C54" i="10"/>
  <c r="E17" i="8"/>
  <c r="D44" i="9"/>
  <c r="J33" i="3"/>
  <c r="J60" i="3" s="1"/>
  <c r="J35" i="3"/>
  <c r="F33" i="3"/>
  <c r="F60" i="3" s="1"/>
  <c r="F35" i="3"/>
  <c r="O32" i="3"/>
  <c r="C35" i="3"/>
  <c r="C33" i="3"/>
  <c r="N9" i="5"/>
  <c r="N17" i="5"/>
  <c r="C37" i="9"/>
  <c r="M9" i="5"/>
  <c r="M17" i="5"/>
  <c r="L9" i="5"/>
  <c r="L51" i="10" s="1"/>
  <c r="L17" i="5"/>
  <c r="K9" i="5"/>
  <c r="K51" i="10" s="1"/>
  <c r="K17" i="5"/>
  <c r="J9" i="5"/>
  <c r="J51" i="10" s="1"/>
  <c r="J17" i="5"/>
  <c r="I9" i="5"/>
  <c r="I51" i="10" s="1"/>
  <c r="I17" i="5"/>
  <c r="H9" i="5"/>
  <c r="H51" i="10" s="1"/>
  <c r="H17" i="5"/>
  <c r="H15" i="9"/>
  <c r="G9" i="5"/>
  <c r="G51" i="10" s="1"/>
  <c r="G17" i="5"/>
  <c r="G15" i="9"/>
  <c r="F9" i="5"/>
  <c r="F51" i="10" s="1"/>
  <c r="F17" i="5"/>
  <c r="F15" i="9"/>
  <c r="E9" i="5"/>
  <c r="E51" i="10" s="1"/>
  <c r="E17" i="5"/>
  <c r="E15" i="9"/>
  <c r="D9" i="5"/>
  <c r="D51" i="10" s="1"/>
  <c r="D17" i="5"/>
  <c r="D15" i="9"/>
  <c r="O5" i="5"/>
  <c r="C8" i="5"/>
  <c r="N13" i="4"/>
  <c r="B6" i="9"/>
  <c r="O39" i="3"/>
  <c r="C64" i="3"/>
  <c r="M33" i="3"/>
  <c r="M60" i="3" s="1"/>
  <c r="M35" i="3"/>
  <c r="K35" i="3"/>
  <c r="K33" i="3"/>
  <c r="K60" i="3" s="1"/>
  <c r="H35" i="3"/>
  <c r="H33" i="3"/>
  <c r="H60" i="3" s="1"/>
  <c r="G33" i="3"/>
  <c r="G60" i="3" s="1"/>
  <c r="G35" i="3"/>
  <c r="E33" i="3"/>
  <c r="E60" i="3" s="1"/>
  <c r="E35" i="3"/>
  <c r="P52" i="3"/>
  <c r="D42" i="9" s="1"/>
  <c r="N53" i="3"/>
  <c r="P53" i="3" s="1"/>
  <c r="N66" i="3"/>
  <c r="P66" i="3" s="1"/>
  <c r="E15" i="8" s="1"/>
  <c r="M53" i="3"/>
  <c r="M66" i="3"/>
  <c r="L53" i="3"/>
  <c r="L66" i="3"/>
  <c r="K53" i="3"/>
  <c r="K66" i="3"/>
  <c r="J53" i="3"/>
  <c r="J66" i="3"/>
  <c r="I53" i="3"/>
  <c r="I66" i="3"/>
  <c r="H53" i="3"/>
  <c r="H66" i="3"/>
  <c r="G53" i="3"/>
  <c r="G66" i="3"/>
  <c r="F53" i="3"/>
  <c r="F66" i="3"/>
  <c r="E53" i="3"/>
  <c r="E66" i="3"/>
  <c r="D53" i="3"/>
  <c r="D66" i="3"/>
  <c r="O52" i="3"/>
  <c r="C53" i="3"/>
  <c r="O53" i="3" s="1"/>
  <c r="C66" i="3"/>
  <c r="N64" i="3"/>
  <c r="P64" i="3" s="1"/>
  <c r="P39" i="3"/>
  <c r="N17" i="10"/>
  <c r="C26" i="8" s="1"/>
  <c r="F26" i="8" s="1"/>
  <c r="G26" i="8" s="1"/>
  <c r="M17" i="10"/>
  <c r="D26" i="8" s="1"/>
  <c r="L17" i="10"/>
  <c r="K17" i="10"/>
  <c r="J17" i="10"/>
  <c r="I17" i="10"/>
  <c r="H17" i="10"/>
  <c r="G17" i="10"/>
  <c r="F17" i="10"/>
  <c r="E17" i="10"/>
  <c r="D17" i="10"/>
  <c r="C17" i="10"/>
  <c r="O17" i="6"/>
  <c r="O68" i="3"/>
  <c r="M13" i="4"/>
  <c r="L13" i="4"/>
  <c r="K13" i="4"/>
  <c r="J13" i="4"/>
  <c r="I13" i="4"/>
  <c r="H13" i="4"/>
  <c r="G13" i="4"/>
  <c r="F13" i="4"/>
  <c r="E13" i="4"/>
  <c r="O84" i="3"/>
  <c r="P59" i="3"/>
  <c r="E6" i="8" s="1"/>
  <c r="F6" i="8" s="1"/>
  <c r="G6" i="8" s="1"/>
  <c r="O59" i="3"/>
  <c r="E47" i="9" l="1"/>
  <c r="F47" i="9"/>
  <c r="G47" i="9" s="1"/>
  <c r="O25" i="10"/>
  <c r="C26" i="9"/>
  <c r="I26" i="9" s="1"/>
  <c r="O15" i="10"/>
  <c r="C18" i="10"/>
  <c r="O18" i="10" s="1"/>
  <c r="P33" i="3"/>
  <c r="D37" i="9" s="1"/>
  <c r="N60" i="3"/>
  <c r="P60" i="3" s="1"/>
  <c r="E7" i="8" s="1"/>
  <c r="N67" i="3"/>
  <c r="P67" i="3" s="1"/>
  <c r="N37" i="3"/>
  <c r="N61" i="3"/>
  <c r="P61" i="3" s="1"/>
  <c r="E9" i="8" s="1"/>
  <c r="P35" i="3"/>
  <c r="N36" i="3"/>
  <c r="L67" i="3"/>
  <c r="L37" i="3"/>
  <c r="L38" i="3" s="1"/>
  <c r="L63" i="3" s="1"/>
  <c r="L61" i="3"/>
  <c r="L36" i="3"/>
  <c r="L62" i="3" s="1"/>
  <c r="I67" i="3"/>
  <c r="I37" i="3"/>
  <c r="I38" i="3" s="1"/>
  <c r="I63" i="3" s="1"/>
  <c r="I61" i="3"/>
  <c r="I36" i="3"/>
  <c r="I62" i="3" s="1"/>
  <c r="D67" i="3"/>
  <c r="D37" i="3"/>
  <c r="D38" i="3" s="1"/>
  <c r="D63" i="3" s="1"/>
  <c r="D36" i="3"/>
  <c r="D61" i="3"/>
  <c r="C19" i="8"/>
  <c r="F19" i="8" s="1"/>
  <c r="G19" i="8" s="1"/>
  <c r="G6" i="9"/>
  <c r="N21" i="6"/>
  <c r="I6" i="9"/>
  <c r="C14" i="8"/>
  <c r="F14" i="8" s="1"/>
  <c r="G14" i="8" s="1"/>
  <c r="C41" i="9"/>
  <c r="C15" i="8"/>
  <c r="F15" i="8" s="1"/>
  <c r="G15" i="8" s="1"/>
  <c r="F6" i="9"/>
  <c r="C42" i="9"/>
  <c r="D19" i="8"/>
  <c r="M21" i="6"/>
  <c r="D18" i="8" s="1"/>
  <c r="H24" i="9"/>
  <c r="I24" i="9" s="1"/>
  <c r="H21" i="6"/>
  <c r="G24" i="9"/>
  <c r="G21" i="6"/>
  <c r="F24" i="9"/>
  <c r="F21" i="6"/>
  <c r="E24" i="9"/>
  <c r="E21" i="6"/>
  <c r="D24" i="9"/>
  <c r="D21" i="6"/>
  <c r="C20" i="6"/>
  <c r="O18" i="6"/>
  <c r="O27" i="5"/>
  <c r="C17" i="9"/>
  <c r="I17" i="9" s="1"/>
  <c r="O28" i="5"/>
  <c r="C18" i="9"/>
  <c r="I18" i="9" s="1"/>
  <c r="E44" i="9"/>
  <c r="F44" i="9"/>
  <c r="G44" i="9" s="1"/>
  <c r="D9" i="9"/>
  <c r="C12" i="8"/>
  <c r="C45" i="9"/>
  <c r="O31" i="5"/>
  <c r="C23" i="9"/>
  <c r="I23" i="9" s="1"/>
  <c r="J37" i="3"/>
  <c r="J38" i="3" s="1"/>
  <c r="J63" i="3" s="1"/>
  <c r="J61" i="3"/>
  <c r="J36" i="3"/>
  <c r="J62" i="3" s="1"/>
  <c r="J67" i="3"/>
  <c r="F67" i="3"/>
  <c r="F36" i="3"/>
  <c r="F37" i="3"/>
  <c r="F38" i="3" s="1"/>
  <c r="F63" i="3" s="1"/>
  <c r="F61" i="3"/>
  <c r="C67" i="3"/>
  <c r="O35" i="3"/>
  <c r="C36" i="3"/>
  <c r="C37" i="3"/>
  <c r="C61" i="3"/>
  <c r="O33" i="3"/>
  <c r="C60" i="3"/>
  <c r="N51" i="10"/>
  <c r="D6" i="9"/>
  <c r="C7" i="8"/>
  <c r="N18" i="5"/>
  <c r="N20" i="5"/>
  <c r="C9" i="8"/>
  <c r="C38" i="9"/>
  <c r="M51" i="10"/>
  <c r="D7" i="8"/>
  <c r="M18" i="5"/>
  <c r="M20" i="5"/>
  <c r="D9" i="8"/>
  <c r="L18" i="5"/>
  <c r="L52" i="10" s="1"/>
  <c r="L20" i="5"/>
  <c r="K18" i="5"/>
  <c r="K52" i="10" s="1"/>
  <c r="K20" i="5"/>
  <c r="J18" i="5"/>
  <c r="J52" i="10" s="1"/>
  <c r="J20" i="5"/>
  <c r="I18" i="5"/>
  <c r="I52" i="10" s="1"/>
  <c r="I20" i="5"/>
  <c r="H18" i="5"/>
  <c r="H20" i="5"/>
  <c r="H16" i="9"/>
  <c r="H56" i="9"/>
  <c r="G18" i="5"/>
  <c r="G20" i="5"/>
  <c r="G16" i="9"/>
  <c r="G56" i="9"/>
  <c r="F18" i="5"/>
  <c r="F20" i="5"/>
  <c r="F16" i="9"/>
  <c r="F56" i="9"/>
  <c r="E18" i="5"/>
  <c r="E20" i="5"/>
  <c r="E56" i="9"/>
  <c r="E16" i="9"/>
  <c r="D18" i="5"/>
  <c r="D20" i="5"/>
  <c r="D56" i="9"/>
  <c r="D16" i="9"/>
  <c r="O8" i="5"/>
  <c r="C9" i="5"/>
  <c r="C17" i="5"/>
  <c r="C15" i="9"/>
  <c r="I15" i="9" s="1"/>
  <c r="M36" i="3"/>
  <c r="M62" i="3" s="1"/>
  <c r="M67" i="3"/>
  <c r="M37" i="3"/>
  <c r="M38" i="3" s="1"/>
  <c r="M63" i="3" s="1"/>
  <c r="M61" i="3"/>
  <c r="K36" i="3"/>
  <c r="K62" i="3" s="1"/>
  <c r="K37" i="3"/>
  <c r="K38" i="3" s="1"/>
  <c r="K63" i="3" s="1"/>
  <c r="K67" i="3"/>
  <c r="K61" i="3"/>
  <c r="H36" i="3"/>
  <c r="H37" i="3"/>
  <c r="H38" i="3" s="1"/>
  <c r="H63" i="3" s="1"/>
  <c r="H67" i="3"/>
  <c r="H61" i="3"/>
  <c r="G61" i="3"/>
  <c r="G36" i="3"/>
  <c r="G37" i="3"/>
  <c r="G38" i="3" s="1"/>
  <c r="G63" i="3" s="1"/>
  <c r="G67" i="3"/>
  <c r="E67" i="3"/>
  <c r="E37" i="3"/>
  <c r="E38" i="3" s="1"/>
  <c r="E63" i="3" s="1"/>
  <c r="E61" i="3"/>
  <c r="E36" i="3"/>
  <c r="E12" i="8"/>
  <c r="D45" i="9"/>
  <c r="O16" i="10"/>
  <c r="N29" i="5"/>
  <c r="M29" i="5"/>
  <c r="D16" i="8" s="1"/>
  <c r="L29" i="5"/>
  <c r="K29" i="5"/>
  <c r="J29" i="5"/>
  <c r="I29" i="5"/>
  <c r="G29" i="5"/>
  <c r="G21" i="9" s="1"/>
  <c r="O64" i="3"/>
  <c r="H29" i="5"/>
  <c r="H21" i="9" s="1"/>
  <c r="F29" i="5"/>
  <c r="F21" i="9" s="1"/>
  <c r="E29" i="5"/>
  <c r="E21" i="9" s="1"/>
  <c r="D29" i="5"/>
  <c r="D21" i="9" s="1"/>
  <c r="O54" i="10"/>
  <c r="O17" i="10"/>
  <c r="E16" i="8" l="1"/>
  <c r="D43" i="9"/>
  <c r="P37" i="3"/>
  <c r="N38" i="3"/>
  <c r="P36" i="3"/>
  <c r="D38" i="9" s="1"/>
  <c r="N62" i="3"/>
  <c r="P62" i="3" s="1"/>
  <c r="D62" i="3"/>
  <c r="D57" i="9"/>
  <c r="C18" i="8"/>
  <c r="F18" i="8" s="1"/>
  <c r="G18" i="8" s="1"/>
  <c r="H6" i="9"/>
  <c r="E41" i="9"/>
  <c r="F41" i="9"/>
  <c r="G41" i="9" s="1"/>
  <c r="E42" i="9"/>
  <c r="F42" i="9"/>
  <c r="G42" i="9" s="1"/>
  <c r="C24" i="9"/>
  <c r="C21" i="6"/>
  <c r="O20" i="6"/>
  <c r="E45" i="9"/>
  <c r="F45" i="9"/>
  <c r="G45" i="9" s="1"/>
  <c r="F57" i="9"/>
  <c r="F62" i="3"/>
  <c r="O36" i="3"/>
  <c r="C57" i="9"/>
  <c r="C62" i="3"/>
  <c r="C38" i="3"/>
  <c r="O37" i="3"/>
  <c r="N52" i="10"/>
  <c r="E6" i="9"/>
  <c r="C10" i="8"/>
  <c r="C39" i="9"/>
  <c r="N48" i="10"/>
  <c r="N22" i="5"/>
  <c r="D10" i="8"/>
  <c r="M52" i="10"/>
  <c r="M22" i="5"/>
  <c r="M48" i="10"/>
  <c r="L22" i="5"/>
  <c r="L48" i="10"/>
  <c r="K22" i="5"/>
  <c r="K48" i="10"/>
  <c r="J22" i="5"/>
  <c r="J48" i="10"/>
  <c r="I22" i="5"/>
  <c r="I48" i="10"/>
  <c r="H20" i="9"/>
  <c r="H52" i="10"/>
  <c r="H22" i="5"/>
  <c r="H48" i="10"/>
  <c r="G20" i="9"/>
  <c r="G52" i="10"/>
  <c r="G22" i="5"/>
  <c r="G48" i="10"/>
  <c r="F20" i="9"/>
  <c r="F52" i="10"/>
  <c r="F22" i="5"/>
  <c r="F48" i="10"/>
  <c r="E52" i="10"/>
  <c r="E20" i="9"/>
  <c r="E48" i="10"/>
  <c r="E22" i="5"/>
  <c r="D20" i="9"/>
  <c r="D52" i="10"/>
  <c r="D22" i="5"/>
  <c r="D48" i="10"/>
  <c r="O9" i="5"/>
  <c r="C51" i="10"/>
  <c r="O51" i="10" s="1"/>
  <c r="C29" i="5"/>
  <c r="C18" i="5"/>
  <c r="C20" i="5"/>
  <c r="O17" i="5"/>
  <c r="C56" i="9"/>
  <c r="C16" i="9"/>
  <c r="I16" i="9" s="1"/>
  <c r="H57" i="9"/>
  <c r="H62" i="3"/>
  <c r="G57" i="9"/>
  <c r="G62" i="3"/>
  <c r="E57" i="9"/>
  <c r="E62" i="3"/>
  <c r="C43" i="9"/>
  <c r="C16" i="8"/>
  <c r="B9" i="9"/>
  <c r="O67" i="3"/>
  <c r="O60" i="3"/>
  <c r="F9" i="8"/>
  <c r="G9" i="8" s="1"/>
  <c r="F12" i="8"/>
  <c r="G12" i="8" s="1"/>
  <c r="F7" i="8"/>
  <c r="G7" i="8" s="1"/>
  <c r="E37" i="9"/>
  <c r="F37" i="9"/>
  <c r="G37" i="9" s="1"/>
  <c r="P38" i="3" l="1"/>
  <c r="D40" i="9" s="1"/>
  <c r="N63" i="3"/>
  <c r="P63" i="3" s="1"/>
  <c r="E11" i="8" s="1"/>
  <c r="E10" i="8"/>
  <c r="F10" i="8" s="1"/>
  <c r="G10" i="8" s="1"/>
  <c r="D39" i="9"/>
  <c r="O38" i="3"/>
  <c r="C63" i="3"/>
  <c r="O63" i="3" s="1"/>
  <c r="N23" i="5"/>
  <c r="N24" i="5"/>
  <c r="M23" i="5"/>
  <c r="M24" i="5"/>
  <c r="L23" i="5"/>
  <c r="L24" i="5"/>
  <c r="K23" i="5"/>
  <c r="K24" i="5"/>
  <c r="J23" i="5"/>
  <c r="J24" i="5"/>
  <c r="I23" i="5"/>
  <c r="I24" i="5"/>
  <c r="H23" i="5"/>
  <c r="H24" i="5"/>
  <c r="G23" i="5"/>
  <c r="G24" i="5"/>
  <c r="F23" i="5"/>
  <c r="F24" i="5"/>
  <c r="E23" i="5"/>
  <c r="E24" i="5"/>
  <c r="D23" i="5"/>
  <c r="D24" i="5"/>
  <c r="C21" i="9"/>
  <c r="I21" i="9" s="1"/>
  <c r="O29" i="5"/>
  <c r="O18" i="5"/>
  <c r="C52" i="10"/>
  <c r="O52" i="10" s="1"/>
  <c r="C20" i="9"/>
  <c r="I20" i="9" s="1"/>
  <c r="O20" i="5"/>
  <c r="C22" i="5"/>
  <c r="C48" i="10"/>
  <c r="O48" i="10" s="1"/>
  <c r="E43" i="9"/>
  <c r="F43" i="9"/>
  <c r="G43" i="9" s="1"/>
  <c r="O62" i="3"/>
  <c r="E38" i="9"/>
  <c r="F38" i="9"/>
  <c r="G38" i="9" s="1"/>
  <c r="F16" i="8"/>
  <c r="G16" i="8" s="1"/>
  <c r="N25" i="5" l="1"/>
  <c r="C6" i="9"/>
  <c r="C40" i="9"/>
  <c r="N49" i="10"/>
  <c r="M25" i="5"/>
  <c r="M49" i="10"/>
  <c r="L25" i="5"/>
  <c r="L53" i="10" s="1"/>
  <c r="L49" i="10"/>
  <c r="K25" i="5"/>
  <c r="K53" i="10" s="1"/>
  <c r="K49" i="10"/>
  <c r="J25" i="5"/>
  <c r="J53" i="10" s="1"/>
  <c r="J49" i="10"/>
  <c r="I25" i="5"/>
  <c r="I53" i="10" s="1"/>
  <c r="I49" i="10"/>
  <c r="H25" i="5"/>
  <c r="H53" i="10" s="1"/>
  <c r="H19" i="9"/>
  <c r="H49" i="10"/>
  <c r="G25" i="5"/>
  <c r="G53" i="10" s="1"/>
  <c r="G49" i="10"/>
  <c r="G19" i="9"/>
  <c r="F25" i="5"/>
  <c r="F53" i="10" s="1"/>
  <c r="F19" i="9"/>
  <c r="F49" i="10"/>
  <c r="E25" i="5"/>
  <c r="E53" i="10" s="1"/>
  <c r="E19" i="9"/>
  <c r="E49" i="10"/>
  <c r="D25" i="5"/>
  <c r="D53" i="10" s="1"/>
  <c r="D49" i="10"/>
  <c r="D19" i="9"/>
  <c r="O22" i="5"/>
  <c r="C23" i="5"/>
  <c r="O23" i="5" s="1"/>
  <c r="C24" i="5"/>
  <c r="E39" i="9"/>
  <c r="F39" i="9"/>
  <c r="G39" i="9" s="1"/>
  <c r="C11" i="8" l="1"/>
  <c r="F11" i="8" s="1"/>
  <c r="G11" i="8" s="1"/>
  <c r="N53" i="10"/>
  <c r="E40" i="9"/>
  <c r="F40" i="9"/>
  <c r="G40" i="9" s="1"/>
  <c r="D11" i="8"/>
  <c r="M53" i="10"/>
  <c r="O24" i="5"/>
  <c r="C25" i="5"/>
  <c r="C19" i="9"/>
  <c r="I19" i="9" s="1"/>
  <c r="C49" i="10"/>
  <c r="O49" i="10" s="1"/>
  <c r="C53" i="10" l="1"/>
  <c r="O53" i="10" s="1"/>
  <c r="O25" i="5"/>
  <c r="C47" i="10" l="1"/>
  <c r="H47" i="10"/>
  <c r="N47" i="10"/>
  <c r="F47" i="10"/>
  <c r="J47" i="10"/>
  <c r="L47" i="10"/>
  <c r="I47" i="10"/>
  <c r="M47" i="10"/>
  <c r="E47" i="10"/>
  <c r="D47" i="10"/>
  <c r="G47" i="10"/>
  <c r="K47" i="10"/>
  <c r="O47" i="10" l="1"/>
</calcChain>
</file>

<file path=xl/sharedStrings.xml><?xml version="1.0" encoding="utf-8"?>
<sst xmlns="http://schemas.openxmlformats.org/spreadsheetml/2006/main" count="998" uniqueCount="622">
  <si>
    <t>FP&amp;A-Grade Finance Template  |  SME &amp; Startup Edition  |  v5.0</t>
  </si>
  <si>
    <t>Company Name:</t>
  </si>
  <si>
    <t>[Enter Company Name]</t>
  </si>
  <si>
    <t>Report Month:</t>
  </si>
  <si>
    <t>[Month Year]</t>
  </si>
  <si>
    <t>Prepared By:</t>
  </si>
  <si>
    <t>[Name / Dept]</t>
  </si>
  <si>
    <t>Version:</t>
  </si>
  <si>
    <t>v1.0</t>
  </si>
  <si>
    <t>📋  WORKBOOK NAVIGATION</t>
  </si>
  <si>
    <t>📥 RAW DATA INPUT</t>
  </si>
  <si>
    <t>Sales, Expenses, Headcount, Cash — monthly data entry</t>
  </si>
  <si>
    <t>📋 BUDGET</t>
  </si>
  <si>
    <t>Annual budget, monthly KPI targets &amp; Actuals vs Budget</t>
  </si>
  <si>
    <t>📦 SALES &amp; REVENUE</t>
  </si>
  <si>
    <t>Revenue breakdown by line, channel mix, MoM growth</t>
  </si>
  <si>
    <t>💰 P&amp;L SUMMARY</t>
  </si>
  <si>
    <t>Income statement: Revenue → Gross Profit → EBITDA → Net</t>
  </si>
  <si>
    <t>🏦 CASH FLOW</t>
  </si>
  <si>
    <t>Operating, Investing, Financing — cash &amp; runway</t>
  </si>
  <si>
    <t>👥 HR &amp; HEADCOUNT</t>
  </si>
  <si>
    <t>Headcount, payroll, attrition, revenue per employee</t>
  </si>
  <si>
    <t>🔄 WORKING CAPITAL</t>
  </si>
  <si>
    <t>DSO, DPO, DIO, CCC, unit economics, financial ratios</t>
  </si>
  <si>
    <t>📊 KPI TRACKER</t>
  </si>
  <si>
    <t>30 KPIs with Actual vs Budget vs Status — auto-linked</t>
  </si>
  <si>
    <t>🖥 DASHBOARD</t>
  </si>
  <si>
    <t>Executive summary: scorecards, Actuals vs Budget, charts</t>
  </si>
  <si>
    <t>📖 HOW TO USE</t>
  </si>
  <si>
    <t>Step-by-step instructions, workflow, tips &amp; FAQ</t>
  </si>
  <si>
    <t>🤖 AI INSIGHTS</t>
  </si>
  <si>
    <t>AI-generated monthly analysis &amp; recommendations</t>
  </si>
  <si>
    <t>⚠  Blue cells = Input  |  Black cells = Formulas  |  AI Insights sheet requires Anthropic API key</t>
  </si>
  <si>
    <t>🏢  SECTION 1 – COMPANY SETUP &amp; ASSUMPTIONS</t>
  </si>
  <si>
    <t>Parameter</t>
  </si>
  <si>
    <t>Value</t>
  </si>
  <si>
    <t>Unit</t>
  </si>
  <si>
    <t>Notes</t>
  </si>
  <si>
    <t>Fiscal Year Start Month</t>
  </si>
  <si>
    <t>April</t>
  </si>
  <si>
    <t>Month</t>
  </si>
  <si>
    <t>Enter month name</t>
  </si>
  <si>
    <t>Financial Year</t>
  </si>
  <si>
    <t>FY 2025-26</t>
  </si>
  <si>
    <t>Year</t>
  </si>
  <si>
    <t>Currency</t>
  </si>
  <si>
    <t>INR (₹)</t>
  </si>
  <si>
    <t>—</t>
  </si>
  <si>
    <t>Change as needed</t>
  </si>
  <si>
    <t>Reporting Unit</t>
  </si>
  <si>
    <t>Thousands (₹'000)</t>
  </si>
  <si>
    <t>or Lakhs / Crores</t>
  </si>
  <si>
    <t>Company Stage</t>
  </si>
  <si>
    <t>Growth Stage</t>
  </si>
  <si>
    <t>Seed/Early/Growth/Scale</t>
  </si>
  <si>
    <t>Industry</t>
  </si>
  <si>
    <t>[Enter Industry]</t>
  </si>
  <si>
    <t>No. of Business Lines</t>
  </si>
  <si>
    <t>Count</t>
  </si>
  <si>
    <t>Update below</t>
  </si>
  <si>
    <t>📦  SECTION 2 – SALES &amp; REVENUE INPUT  (₹'000)</t>
  </si>
  <si>
    <t>Revenue Line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</si>
  <si>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</si>
  <si>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</si>
  <si>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</si>
  <si>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</si>
  <si>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</si>
  <si>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</si>
  <si>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</si>
  <si>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</si>
  <si>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</si>
  <si>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</si>
  <si>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</si>
  <si>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</si>
  <si>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Product / Service Line 1</t>
  </si>
  <si>
    <t>Product / Service Line 2</t>
  </si>
  <si>
    <t>Product / Service Line 3</t>
  </si>
  <si>
    <t>Online / E-commerce Channel</t>
  </si>
  <si>
    <t>Direct Sales Channel</t>
  </si>
  <si>
    <t>B2B / Enterprise Sales</t>
  </si>
  <si>
    <t>Export / International</t>
  </si>
  <si>
    <t>Other Revenue</t>
  </si>
  <si>
    <t>TOTAL REVENUE</t>
  </si>
  <si>
    <t>💸  SECTION 3 – OPERATING EXPENSES INPUT  (₹'000)</t>
  </si>
  <si>
    <t>Expense Category</t>
  </si>
  <si>
    <t>Cost of Goods Sold (COGS)</t>
  </si>
  <si>
    <t>Salaries &amp; Wages</t>
  </si>
  <si>
    <t>Rent &amp; Utilities</t>
  </si>
  <si>
    <t>Marketing &amp; Advertising</t>
  </si>
  <si>
    <t>Technology &amp; Software</t>
  </si>
  <si>
    <t>Travel &amp; Conveyance</t>
  </si>
  <si>
    <t>Professional Fees</t>
  </si>
  <si>
    <t>Logistics &amp; Delivery</t>
  </si>
  <si>
    <t>Depreciation</t>
  </si>
  <si>
    <t>Other Expenses</t>
  </si>
  <si>
    <t>TOTAL EXPENSES</t>
  </si>
  <si>
    <t>🏦  SECTION 4 – CASH FLOW INPUT  (₹'000)</t>
  </si>
  <si>
    <t>Cash Item</t>
  </si>
  <si>
    <t>Opening Cash Balance</t>
  </si>
  <si>
    <t>Collections from Customers</t>
  </si>
  <si>
    <t>Other Operating Inflows</t>
  </si>
  <si>
    <t>Payments to Vendors/Suppliers</t>
  </si>
  <si>
    <t>Salary Payments</t>
  </si>
  <si>
    <t>Loan EMI / Interest Paid</t>
  </si>
  <si>
    <t>Capital Expenditure (CapEx)</t>
  </si>
  <si>
    <t>Tax Payments</t>
  </si>
  <si>
    <t>Investments Received (Funding)</t>
  </si>
  <si>
    <t>Other Outflows</t>
  </si>
  <si>
    <t>CLOSING CASH BALANCE</t>
  </si>
  <si>
    <t>👥  SECTION 5 – HR &amp; HEADCOUNT INPUT</t>
  </si>
  <si>
    <t>HR Metric</t>
  </si>
  <si>
    <t>Total Headcount (End of Month)</t>
  </si>
  <si>
    <t>New Hires</t>
  </si>
  <si>
    <t>Attrition / Exits</t>
  </si>
  <si>
    <t>Open Positions</t>
  </si>
  <si>
    <t>Total Payroll Cost (₹'000)</t>
  </si>
  <si>
    <t>Training Hours (Total)</t>
  </si>
  <si>
    <t>Avg. Revenue per Employee (₹'000)</t>
  </si>
  <si>
    <t>🔄  SECTION 6 – WORKING CAPITAL INPUTS  (₹'000)</t>
  </si>
  <si>
    <t>Balance Sheet Item</t>
  </si>
  <si>
    <t>Trade Receivables (Debtors)</t>
  </si>
  <si>
    <t>Inventory / Stock in Hand</t>
  </si>
  <si>
    <t>Other Current Assets</t>
  </si>
  <si>
    <t>Trade Payables (Creditors)</t>
  </si>
  <si>
    <t>Other Current Liabilities</t>
  </si>
  <si>
    <t>Short-term Debt / OD</t>
  </si>
  <si>
    <t>📈  SECTION 7 – UNIT ECONOMICS &amp; SALES FUNNEL</t>
  </si>
  <si>
    <t>Metric</t>
  </si>
  <si>
    <t>Total Leads / Prospects</t>
  </si>
  <si>
    <t>Qualified Leads</t>
  </si>
  <si>
    <t>No. of Deals Closed (New Customers)</t>
  </si>
  <si>
    <t>No. of Active / Retained Customers</t>
  </si>
  <si>
    <t>No. of Churned Customers</t>
  </si>
  <si>
    <t>Total Units Sold</t>
  </si>
  <si>
    <t>Customer Acquisition Cost - CAC (₹)</t>
  </si>
  <si>
    <t>Marketing Spend (₹'000)</t>
  </si>
  <si>
    <t>Sales Team Cost (₹'000)</t>
  </si>
  <si>
    <t>📋  ANNUAL BUDGET &amp; TARGET PLAN</t>
  </si>
  <si>
    <t>📅 Current
Month No.
(1=Apr)</t>
  </si>
  <si>
    <t>📦  SECTION A — REVENUE BUDGET  (₹'000)</t>
  </si>
  <si>
    <t>← Change 1–12</t>
  </si>
  <si>
    <t>Budget Line Item</t>
  </si>
  <si>
    <t>FY Budget</t>
  </si>
  <si>
    <t>Match line with Raw Data Input</t>
  </si>
  <si>
    <t>TOTAL REVENUE BUDGET</t>
  </si>
  <si>
    <t>Implied MoM Growth %</t>
  </si>
  <si>
    <t>💸  SECTION B — EXPENSE &amp; P&amp;L BUDGET  (₹'000)</t>
  </si>
  <si>
    <t>Cost of Goods Sold  (COGS)</t>
  </si>
  <si>
    <t>Direct costs target</t>
  </si>
  <si>
    <t>Include all CTC</t>
  </si>
  <si>
    <t>% of revenue rule-of-thumb</t>
  </si>
  <si>
    <t>TOTAL EXPENSES BUDGET</t>
  </si>
  <si>
    <t>Gross Profit Budget</t>
  </si>
  <si>
    <t>Revenue − COGS</t>
  </si>
  <si>
    <t>Gross Margin % Budget</t>
  </si>
  <si>
    <t>Total OpEx Budget</t>
  </si>
  <si>
    <t>Excl. COGS</t>
  </si>
  <si>
    <t>EBITDA Budget</t>
  </si>
  <si>
    <t>EBITDA Margin % Budget</t>
  </si>
  <si>
    <t>Net Profit Budget</t>
  </si>
  <si>
    <t>Net Margin % Budget</t>
  </si>
  <si>
    <t>OpEx Ratio % Budget</t>
  </si>
  <si>
    <t>🏦  SECTION C — CASH FLOW BUDGET  (₹'000)</t>
  </si>
  <si>
    <t>Target collection efficiency</t>
  </si>
  <si>
    <t>Payments to Vendors</t>
  </si>
  <si>
    <t>Should match payroll budget</t>
  </si>
  <si>
    <t>CapEx plan</t>
  </si>
  <si>
    <t>Loan EMI / Interest</t>
  </si>
  <si>
    <t>Operating Cash Flow (OCF) Budget</t>
  </si>
  <si>
    <t>Free Cash Flow to Firm (FCFF) Budget</t>
  </si>
  <si>
    <t>Net Cash Flow After Financing (NCFAF)</t>
  </si>
  <si>
    <t>🟢 Green = Auto-linked to Section A/B/C/E   |   🔵 Blue = Manual input (no upstream source available)</t>
  </si>
  <si>
    <t>🎯  SECTION D — KPI TARGETS  (Used by KPI Tracker auto-lookup)</t>
  </si>
  <si>
    <t>Current Month
Budget</t>
  </si>
  <si>
    <t>Link Logic / Source</t>
  </si>
  <si>
    <t>REV</t>
  </si>
  <si>
    <t>Monthly Revenue  (₹'000)</t>
  </si>
  <si>
    <t>🔗 Linked to Section A — Total Revenue Budget</t>
  </si>
  <si>
    <t>REV_GR</t>
  </si>
  <si>
    <t>Revenue MoM Growth  %</t>
  </si>
  <si>
    <t>🔗 Linked to Section A — Implied MoM Growth %</t>
  </si>
  <si>
    <t>GPM</t>
  </si>
  <si>
    <t>Gross Profit Margin  %</t>
  </si>
  <si>
    <t>🔗 Linked to Section B — Gross Margin % Budget</t>
  </si>
  <si>
    <t>EBITDA</t>
  </si>
  <si>
    <t>EBITDA  (₹'000)</t>
  </si>
  <si>
    <t>🔗 Linked to Section B — EBITDA Budget</t>
  </si>
  <si>
    <t>EBITDAM</t>
  </si>
  <si>
    <t>EBITDA Margin  %</t>
  </si>
  <si>
    <t>🔗 Linked to Section B — EBITDA Margin % Budget</t>
  </si>
  <si>
    <t>NPM</t>
  </si>
  <si>
    <t>Net Profit Margin  %</t>
  </si>
  <si>
    <t>🔗 Linked to Section B — Net Margin % Budget</t>
  </si>
  <si>
    <t>OPEX_R</t>
  </si>
  <si>
    <t>Operating Expense Ratio  %</t>
  </si>
  <si>
    <t>🔗 Linked to Section B — OpEx Ratio % Budget</t>
  </si>
  <si>
    <t>OCF</t>
  </si>
  <si>
    <t>Operating Cash Flow  (₹'000)</t>
  </si>
  <si>
    <t>🔗 Linked to Section C — OCF Budget</t>
  </si>
  <si>
    <t>FCF</t>
  </si>
  <si>
    <t>Free Cash Flow  (₹'000)</t>
  </si>
  <si>
    <t>🔗 Linked to Section C — FCF Budget</t>
  </si>
  <si>
    <t>EBITDA_CONV</t>
  </si>
  <si>
    <t>EBITDA Cash Conversion  %</t>
  </si>
  <si>
    <t>🔗 Derived: OCF Budget ÷ EBITDA Budget</t>
  </si>
  <si>
    <t>COLL_EFF</t>
  </si>
  <si>
    <t>Collection Efficiency  %</t>
  </si>
  <si>
    <t>🔗 Derived: Collections Budget ÷ Revenue Budget</t>
  </si>
  <si>
    <t>RUNWAY</t>
  </si>
  <si>
    <t>Cash Runway  (Months)</t>
  </si>
  <si>
    <t>✋ Manual — Cash Runway depends on opening cash position, not tracked in Budget tab</t>
  </si>
  <si>
    <t>CASH</t>
  </si>
  <si>
    <t>Closing Cash Balance  (₹'000)</t>
  </si>
  <si>
    <t>✋ Manual — Closing Cash Balance requires opening balance + full CF roll-forward, set directly</t>
  </si>
  <si>
    <t>DSO</t>
  </si>
  <si>
    <t>DSO  –  Days Sales Outstanding</t>
  </si>
  <si>
    <t>✋ Manual — DSO requires Balance Sheet (Receivables) not collected in Budget tab</t>
  </si>
  <si>
    <t>DPO</t>
  </si>
  <si>
    <t>DPO  –  Days Payable Outstanding</t>
  </si>
  <si>
    <t>✋ Manual — DPO requires Balance Sheet (Payables) not collected in Budget tab</t>
  </si>
  <si>
    <t>DIO</t>
  </si>
  <si>
    <t>DIO  –  Days Inventory Outstanding</t>
  </si>
  <si>
    <t>✋ Manual — DIO requires Balance Sheet (Inventory) not collected in Budget tab</t>
  </si>
  <si>
    <t>CCC</t>
  </si>
  <si>
    <t>CCC  –  Cash Conversion Cycle</t>
  </si>
  <si>
    <t>✋ Manual — CCC = DSO+DIO−DPO, all 3 are manual so CCC stays manual too</t>
  </si>
  <si>
    <t>CURR_R</t>
  </si>
  <si>
    <t>Current Ratio</t>
  </si>
  <si>
    <t>✋ Manual — Current Ratio requires full Balance Sheet, not in Budget tab</t>
  </si>
  <si>
    <t>QUICK_R</t>
  </si>
  <si>
    <t>Quick Ratio</t>
  </si>
  <si>
    <t>✋ Manual — Quick Ratio requires full Balance Sheet, not in Budget tab</t>
  </si>
  <si>
    <t>CONV</t>
  </si>
  <si>
    <t>Lead-to-Customer Conversion  %</t>
  </si>
  <si>
    <t>✋ Manual — Lead conversion % depends on sales funnel data not in Budget tab</t>
  </si>
  <si>
    <t>CHURN</t>
  </si>
  <si>
    <t>Churn Rate  %</t>
  </si>
  <si>
    <t>✋ Manual — Churn Rate depends on customer funnel data not in Budget tab</t>
  </si>
  <si>
    <t>CAC_PB</t>
  </si>
  <si>
    <t>CAC Payback Period  (Months)</t>
  </si>
  <si>
    <t>✋ Manual — CAC Payback depends on unit economics data not in Budget tab</t>
  </si>
  <si>
    <t>LTV_CAC</t>
  </si>
  <si>
    <t>LTV : CAC Ratio</t>
  </si>
  <si>
    <t>✋ Manual — LTV:CAC depends on unit economics data not in Budget tab</t>
  </si>
  <si>
    <t>BURN_M</t>
  </si>
  <si>
    <t>Burn Multiple</t>
  </si>
  <si>
    <t>✋ Manual — Burn Multiple depends on net-new ARR data not in Budget tab</t>
  </si>
  <si>
    <t>HC</t>
  </si>
  <si>
    <t>Total Headcount</t>
  </si>
  <si>
    <t>🔗 Linked to Section E — Planned Headcount</t>
  </si>
  <si>
    <t>ATTR</t>
  </si>
  <si>
    <t>Attrition Rate  %</t>
  </si>
  <si>
    <t>✋ Manual — Attrition Rate not tracked in Section E (only Headcount + New Hires)</t>
  </si>
  <si>
    <t>REV_EMP</t>
  </si>
  <si>
    <t>Revenue per Employee  (₹'000)</t>
  </si>
  <si>
    <t>🔗 Derived: Revenue Budget ÷ Headcount Budget</t>
  </si>
  <si>
    <t>PAYROLL_R</t>
  </si>
  <si>
    <t>Payroll as % of Revenue</t>
  </si>
  <si>
    <t>🔗 Derived: Payroll Budget ÷ Revenue Budget</t>
  </si>
  <si>
    <t>👥  SECTION E — HR &amp; HEADCOUNT BUDGET</t>
  </si>
  <si>
    <t>Planned Total Headcount</t>
  </si>
  <si>
    <t>EOM target</t>
  </si>
  <si>
    <t>Planned New Hires</t>
  </si>
  <si>
    <t>Total Payroll Budget (₹'000)</t>
  </si>
  <si>
    <t>Training Budget (₹'000)</t>
  </si>
  <si>
    <t>Recruitment Cost (₹'000)</t>
  </si>
  <si>
    <t>📦  SALES &amp; REVENUE ANALYSIS</t>
  </si>
  <si>
    <t>YTD Total</t>
  </si>
  <si>
    <t>YTD vs Budget %</t>
  </si>
  <si>
    <t>MoM Growth %</t>
  </si>
  <si>
    <t>📊  REVENUE TREND CHART</t>
  </si>
  <si>
    <t>💰  PROFIT &amp; LOSS SUMMARY  (₹'000)</t>
  </si>
  <si>
    <t>P&amp;L Line Item</t>
  </si>
  <si>
    <t>YTD</t>
  </si>
  <si>
    <t>REVENUE</t>
  </si>
  <si>
    <t>Total Revenue</t>
  </si>
  <si>
    <t>GROSS PROFIT</t>
  </si>
  <si>
    <t>Cost of Goods Sold</t>
  </si>
  <si>
    <t>Gross Profit</t>
  </si>
  <si>
    <t>Gross Margin %</t>
  </si>
  <si>
    <t>OPERATING EXPENSES</t>
  </si>
  <si>
    <t>Other OpEx</t>
  </si>
  <si>
    <t>Total OpEx</t>
  </si>
  <si>
    <t>EBITDA Margin %</t>
  </si>
  <si>
    <t>EBIT (Operating Profit)</t>
  </si>
  <si>
    <t>Interest Expense</t>
  </si>
  <si>
    <t>PBT (Profit Before Tax)</t>
  </si>
  <si>
    <t>Tax (25%)</t>
  </si>
  <si>
    <t>NET PROFIT / (LOSS)</t>
  </si>
  <si>
    <t>Net Margin %</t>
  </si>
  <si>
    <t>CASH FLOW QUALITY METRICS</t>
  </si>
  <si>
    <t>Operating Cash Flow  (OCF)</t>
  </si>
  <si>
    <t>Free Cash Flow  (FCF)</t>
  </si>
  <si>
    <t>🏦  CASH FLOW STATEMENT  (₹'000)</t>
  </si>
  <si>
    <t>Cash Flow Item</t>
  </si>
  <si>
    <t>OPERATING ACTIVITIES</t>
  </si>
  <si>
    <t>Net Operating Cash Flow</t>
  </si>
  <si>
    <t>INVESTING ACTIVITIES</t>
  </si>
  <si>
    <t>Net Investing Cash Flow</t>
  </si>
  <si>
    <t>FINANCING ACTIVITIES</t>
  </si>
  <si>
    <t>Investments / Funding Received</t>
  </si>
  <si>
    <t>Net Financing Cash Flow</t>
  </si>
  <si>
    <t>NET CHANGE IN CASH</t>
  </si>
  <si>
    <t>Opening Balance</t>
  </si>
  <si>
    <t>Runway (Months)</t>
  </si>
  <si>
    <t>👥  HR &amp; HEADCOUNT METRICS</t>
  </si>
  <si>
    <t>YTD Avg</t>
  </si>
  <si>
    <t>Attrition Rate %</t>
  </si>
  <si>
    <t>Total Payroll (₹'000)</t>
  </si>
  <si>
    <t>Revenue per Employee</t>
  </si>
  <si>
    <t>Payroll % of Revenue</t>
  </si>
  <si>
    <t>Training Hours</t>
  </si>
  <si>
    <t>KPI</t>
  </si>
  <si>
    <t>Current Month</t>
  </si>
  <si>
    <t>Prior Month</t>
  </si>
  <si>
    <t>Budget / Target</t>
  </si>
  <si>
    <t>vs Target %</t>
  </si>
  <si>
    <t>Status 🚦</t>
  </si>
  <si>
    <t>Benchmark &amp; Notes</t>
  </si>
  <si>
    <t>🏦  REVENUE &amp; GROWTH</t>
  </si>
  <si>
    <t>💡 Track vs. prior month + budget target</t>
  </si>
  <si>
    <t>💡 Growth-stage target: &gt; 10% MoM</t>
  </si>
  <si>
    <t>💡 SaaS &gt; 70% | Products &gt; 40% | Services &gt; 55%</t>
  </si>
  <si>
    <t>💰  PROFITABILITY</t>
  </si>
  <si>
    <t>💡 Positive EBITDA = operational sustainability</t>
  </si>
  <si>
    <t>💡 Early startup: &gt; 0% | Mature: &gt; 15–20%</t>
  </si>
  <si>
    <t>💡 Positive = key milestone for Series A+</t>
  </si>
  <si>
    <t>💡 OpEx ÷ Revenue. Lower = more efficient. Track trend.</t>
  </si>
  <si>
    <t>🏦  CASH FLOW QUALITY</t>
  </si>
  <si>
    <t>💡 OCF = '{CF}'!row10. Positive OCF = self-funding ops</t>
  </si>
  <si>
    <t>💡 FCF = OCF − CapEx. Key investor metric</t>
  </si>
  <si>
    <t>💡 OCF ÷ EBITDA. &gt; 80% = high-quality earnings</t>
  </si>
  <si>
    <t>💡 Collections ÷ Revenue. &lt; 80% = receivables risk</t>
  </si>
  <si>
    <t>💡 &lt; 6 months = urgent fundraise signal</t>
  </si>
  <si>
    <t>💡 Always track vs. min. operating cash requirement</t>
  </si>
  <si>
    <t>🔄  WORKING CAPITAL  &amp;  EFFICIENCY</t>
  </si>
  <si>
    <t>💡 &lt; 30d = ✅ | &gt; 45d = 🔴 Cash collection risk</t>
  </si>
  <si>
    <t>💡 &gt; 30d = ✅ Leverage | &lt; 15d = Leaving cash on table</t>
  </si>
  <si>
    <t>💡 Lower = Less capital tied in stock</t>
  </si>
  <si>
    <t>💡 CCC = DSO + DIO − DPO. Negative = Best-in-class</t>
  </si>
  <si>
    <t>💡 &gt; 1.5x = Comfortable | &lt; 1x = Liquidity warning</t>
  </si>
  <si>
    <t>💡 &gt; 1.0x = Safe | &lt; 0.75x = Stress zone</t>
  </si>
  <si>
    <t>📈  UNIT ECONOMICS  &amp;  SALES</t>
  </si>
  <si>
    <t>💡 B2B: &gt; 3% | B2C: &gt; 1% healthy</t>
  </si>
  <si>
    <t>💡 &lt; 2%/mo = Strong | &gt; 5%/mo = Business model risk</t>
  </si>
  <si>
    <t>💡 &lt; 12 months = Good | &lt; 6 months = Excellent</t>
  </si>
  <si>
    <t>💡 &gt; 3x = Healthy | &lt; 1x = Business model broken</t>
  </si>
  <si>
    <t>💡 &lt; 1x = Efficient | &gt; 2x = Concerning</t>
  </si>
  <si>
    <t>👥  HR  &amp;  PEOPLE</t>
  </si>
  <si>
    <t>💡 Track absolute and month-over-month change</t>
  </si>
  <si>
    <t>💡 &lt; 1.5%/mo = Healthy | &gt; 3%/mo = Culture risk</t>
  </si>
  <si>
    <t>💡 Increasing trend = improving productivity</t>
  </si>
  <si>
    <t>💡 &lt; 30% = Efficient | &gt; 50% = Payroll-heavy</t>
  </si>
  <si>
    <t>📦 REVENUE</t>
  </si>
  <si>
    <t>💰 NET PROFIT</t>
  </si>
  <si>
    <t>📈 GROSS MARGIN</t>
  </si>
  <si>
    <t>📊 EBITDA MARGIN</t>
  </si>
  <si>
    <t>💵 FREE CASH FLOW</t>
  </si>
  <si>
    <t>🏦 CASH BALANCE</t>
  </si>
  <si>
    <t>⏱ RUNWAY</t>
  </si>
  <si>
    <t>🔁 OCF</t>
  </si>
  <si>
    <t>💧 EBITDA CONV%</t>
  </si>
  <si>
    <t>📬 COLL. EFF%</t>
  </si>
  <si>
    <t>⚙ OPEX RATIO%</t>
  </si>
  <si>
    <t>📆 DSO</t>
  </si>
  <si>
    <t>📆 DPO</t>
  </si>
  <si>
    <t>♻ CCC</t>
  </si>
  <si>
    <t>⚡ LTV:CAC</t>
  </si>
  <si>
    <t>📉 CHURN%</t>
  </si>
  <si>
    <t>📅  MONTHLY PERFORMANCE OVERVIEW  (Apr → Sep)</t>
  </si>
  <si>
    <t>H1 Total</t>
  </si>
  <si>
    <t>H1 Avg</t>
  </si>
  <si>
    <t>Revenue  (₹'000)</t>
  </si>
  <si>
    <t>Gross Profit  (₹'000)</t>
  </si>
  <si>
    <t>OCF  (₹'000)</t>
  </si>
  <si>
    <t>FCF  (₹'000)</t>
  </si>
  <si>
    <t>Net Profit  (₹'000)</t>
  </si>
  <si>
    <t>EBITDA Cash Conv %</t>
  </si>
  <si>
    <t>Collection Efficiency %</t>
  </si>
  <si>
    <t>OpEx Ratio  %</t>
  </si>
  <si>
    <t>Closing Cash  (₹'000)</t>
  </si>
  <si>
    <t>DSO  (days)</t>
  </si>
  <si>
    <t>CCC  (days)</t>
  </si>
  <si>
    <t>Headcount</t>
  </si>
  <si>
    <t>📈  FINANCIAL TREND CHARTS</t>
  </si>
  <si>
    <t>⚖  ACTUALS  vs  BUDGET  —  CURRENT MONTH  (Set month in 📋 BUDGET sheet  ›  cell Q5)</t>
  </si>
  <si>
    <t>Actual</t>
  </si>
  <si>
    <t>Budget</t>
  </si>
  <si>
    <t>Variance (₹/pp)</t>
  </si>
  <si>
    <t>Variance %</t>
  </si>
  <si>
    <t>Trend Note</t>
  </si>
  <si>
    <t>Monthly Revenue</t>
  </si>
  <si>
    <t>Net Profit</t>
  </si>
  <si>
    <t>Operating Cash Flow</t>
  </si>
  <si>
    <t>Free Cash Flow</t>
  </si>
  <si>
    <t>EBITDA Cash Conversion %</t>
  </si>
  <si>
    <t>OpEx Ratio %</t>
  </si>
  <si>
    <t>Churn Rate %</t>
  </si>
  <si>
    <t>📊  ACTUALS  vs  BUDGET  —  MONTHLY TREND (Apr–Sep)</t>
  </si>
  <si>
    <t>Rev Actual</t>
  </si>
  <si>
    <t>Rev Budget</t>
  </si>
  <si>
    <t>EBITDA Actual</t>
  </si>
  <si>
    <t xml:space="preserve">  A.  BALANCE SHEET INPUTS  (Pulled from Raw Data)</t>
  </si>
  <si>
    <t>Trade Receivables (₹'000)</t>
  </si>
  <si>
    <t>Inventory / Stock (₹'000)</t>
  </si>
  <si>
    <t>Other Current Assets (₹'000)</t>
  </si>
  <si>
    <t>Trade Payables (₹'000)</t>
  </si>
  <si>
    <t>Other Current Liabilities (₹'000)</t>
  </si>
  <si>
    <t>Short-term Debt (₹'000)</t>
  </si>
  <si>
    <t xml:space="preserve">  B.  WORKING CAPITAL METRICS</t>
  </si>
  <si>
    <t>Current Assets (₹'000)</t>
  </si>
  <si>
    <t>Current Liabilities (₹'000)</t>
  </si>
  <si>
    <t>Net Working Capital (₹'000)</t>
  </si>
  <si>
    <t>Quick Ratio  (excl. Inventory)</t>
  </si>
  <si>
    <t>Working Capital as % of Revenue</t>
  </si>
  <si>
    <t xml:space="preserve">  C.  DSO  |  DPO  |  DIO  |  CASH CONVERSION CYCLE  ⭐</t>
  </si>
  <si>
    <t xml:space="preserve">  DSO = (Receivables ÷ Revenue) × 30     |     DPO = (Payables ÷ COGS) × 30     |     DIO = (Inventory ÷ COGS) × 30     |     CCC = DSO + DIO − DPO   [Lower = Better]</t>
  </si>
  <si>
    <t>💡 Target: &lt; 30 days  |  &gt; 45 days = ⚠ Cash Risk</t>
  </si>
  <si>
    <t>💡 Target: &gt; 30 days  |  &lt; 15 days = Leaving $ on table</t>
  </si>
  <si>
    <t>💡 Target: &lt; 30 days  |  Industry-specific</t>
  </si>
  <si>
    <t>💡 CCC = DSO + DIO − DPO  |  Negative CCC = Excellent</t>
  </si>
  <si>
    <t>Receivables Turnover  (times/yr)</t>
  </si>
  <si>
    <t>💡 Higher = Faster collections</t>
  </si>
  <si>
    <t>Payables Turnover  (times/yr)</t>
  </si>
  <si>
    <t>💡 Lower = Better supplier terms</t>
  </si>
  <si>
    <t>Inventory Turnover  (times/yr)</t>
  </si>
  <si>
    <t>💡 Higher = Less capital tied in stock</t>
  </si>
  <si>
    <t xml:space="preserve">  D.  UNIT ECONOMICS  &amp;  SALES EFFICIENCY</t>
  </si>
  <si>
    <t xml:space="preserve">  CAC Payback = CAC ÷ (Avg Revenue per Customer × Gross Margin)     |     LTV:CAC &gt; 3x = Healthy     |     Burn Multiple &lt; 1.5x = Efficient</t>
  </si>
  <si>
    <t>Total Leads</t>
  </si>
  <si>
    <t>Lead-to-Customer Conversion %</t>
  </si>
  <si>
    <t>💡 Benchmark: 2–5% is healthy for B2B</t>
  </si>
  <si>
    <t>New Customers Acquired</t>
  </si>
  <si>
    <t>Active Customers</t>
  </si>
  <si>
    <t>💡 Target: &lt; 3%/mo B2C  |  &lt; 1%/mo B2B</t>
  </si>
  <si>
    <t>Avg Revenue per Customer (₹)</t>
  </si>
  <si>
    <t>Customer Acquisition Cost – CAC (₹)</t>
  </si>
  <si>
    <t>💡 Track vs. LTV ratio</t>
  </si>
  <si>
    <t>CAC Payback Period (Months)</t>
  </si>
  <si>
    <t>💡 Target: &lt; 12 months  |  &lt; 6 = Excellent</t>
  </si>
  <si>
    <t>💡 Target: &gt; 3x  |  &lt; 1x = Business model broken</t>
  </si>
  <si>
    <t>💡 &lt; 1x = Great  |  &gt; 2x = Concerning (Startups)</t>
  </si>
  <si>
    <t xml:space="preserve">  E.  FINANCIAL HEALTH RATIOS</t>
  </si>
  <si>
    <t>Debt-to-Equity Ratio</t>
  </si>
  <si>
    <t>💡 &lt; 1x = Conservative  |  &gt; 3x = High leverage</t>
  </si>
  <si>
    <t>Interest Coverage Ratio  (EBIT ÷ Interest)</t>
  </si>
  <si>
    <t>💡 &gt; 3x = Safe  |  &lt; 1.5x = Danger zone</t>
  </si>
  <si>
    <t>Return on Equity %  (Net Profit ÷ Equity)</t>
  </si>
  <si>
    <t>💡 Annualised. &gt; 15% = Strong</t>
  </si>
  <si>
    <t>Revenue Growth YoY %</t>
  </si>
  <si>
    <t>💡 &gt; 20% = High-growth stage</t>
  </si>
  <si>
    <t>💡 SaaS &gt; 70%  |  Manufacturing &gt; 35%  |  Retail &gt; 25%</t>
  </si>
  <si>
    <t>💡 &gt; 15% = Strong  |  &lt; 5% = Watch closely</t>
  </si>
  <si>
    <t>Net Profit Margin %</t>
  </si>
  <si>
    <t>💡 &gt; 10% = Healthy  |  Negative = Burning cash</t>
  </si>
  <si>
    <t>Operating Expense Ratio  (OpEx ÷ Revenue)</t>
  </si>
  <si>
    <t>💡 Lower = More efficient. Track trend monthly</t>
  </si>
  <si>
    <t>💡 &lt; 30% = Healthy for most SMEs</t>
  </si>
  <si>
    <t>📖  HOW TO USE  —  STARTUP FINANCE MIS DASHBOARD  v5</t>
  </si>
  <si>
    <t>Complete User Guide  |  FP&amp;A-Grade Finance Template  |  SME &amp; Startup Edition</t>
  </si>
  <si>
    <t>📋  SECTION 1  —  WORKBOOK OVERVIEW  &amp;  SHEET MAP</t>
  </si>
  <si>
    <t>Total Sheets</t>
  </si>
  <si>
    <t>11 sheets  |  1,900+ linked formulas  |  Zero hardcoded values in calc sheets</t>
  </si>
  <si>
    <t>Design Principle</t>
  </si>
  <si>
    <t>Enter data ONCE in 📥 RAW DATA INPUT → everything else auto-calculates. Budget targets entered ONCE in 📋 BUDGET → flows to KPI Tracker + Dashboard.</t>
  </si>
  <si>
    <t>🏠 COVER</t>
  </si>
  <si>
    <t>Navigation hub. Update Company Name, Report Month, Prepared By in the blue cells (D7:D10).</t>
  </si>
  <si>
    <t>⭐ PRIMARY INPUT SHEET. Enter all monthly actuals here. 7 sections: Setup, Revenue, Expenses, Cash Flow, HR, Working Capital, Unit Economics.</t>
  </si>
  <si>
    <t>⭐ BUDGET INPUT SHEET. Enter annual plan here. Set Q5 (Current Month Selector 1–12) to control which month shows in KPI Tracker + Dashboard.</t>
  </si>
  <si>
    <t>Auto-calculated. Revenue breakdown by line and channel. MoM growth with conditional formatting. Review-only — no inputs needed.</t>
  </si>
  <si>
    <t>Auto-calculated. Full Income Statement: Revenue → Gross Profit → EBITDA → Net Profit. Also calculates OCF, FCF, Cash Conversion %, Collection Efficiency %, OpEx Ratio.</t>
  </si>
  <si>
    <t>Auto-calculated. Operating / Investing / Financing cash flows. Closing Balance and Cash Runway auto-compute.</t>
  </si>
  <si>
    <t>Auto-calculated. Headcount, attrition rate, payroll %, revenue per employee. Sourced from RAW DATA Section 5.</t>
  </si>
  <si>
    <t>Auto-calculated. DSO, DPO, DIO, CCC, Current/Quick Ratio, Unit Economics (CAC, LTV:CAC, Burn Multiple, Churn), Financial Health Ratios.</t>
  </si>
  <si>
    <t>Auto-calculated. 30 KPIs — Current Month vs Prior Month vs Budget Target. Status is automatic (✅ / ⚠ / 🔴). Budget col links to 📋 BUDGET sheet.</t>
  </si>
  <si>
    <t>Auto-calculated. Executive summary with 16 scorecard tiles, monthly performance table, 3 trend charts, and full Actuals vs Budget scorecard.</t>
  </si>
  <si>
    <t>Manual. Paste your Anthropic API key and Claude AI analysis here each month for strategic commentary.</t>
  </si>
  <si>
    <t>🔄  SECTION 2  —  MONTHLY WORKFLOW  (Do This Every Month)</t>
  </si>
  <si>
    <t>STEP 1  ·  Open RAW DATA INPUT</t>
  </si>
  <si>
    <t>Navigate to 📥 RAW DATA INPUT. All input cells are in BLUE. Enter the current month's data column-by-column across Sections 2–7.</t>
  </si>
  <si>
    <t xml:space="preserve">  Section 2 — Revenue</t>
  </si>
  <si>
    <t>Enter monthly revenue figures for each product line / channel (rows 15–22). Total Revenue in row 23 auto-calculates.</t>
  </si>
  <si>
    <t xml:space="preserve">  Section 3 — Expenses</t>
  </si>
  <si>
    <t>Enter COGS, salaries, rent, marketing, tech, travel, professional fees, logistics, depreciation, other expenses (rows 28–37). Total auto-calculates at row 38.</t>
  </si>
  <si>
    <t xml:space="preserve">  Section 4 — Cash Flow</t>
  </si>
  <si>
    <t>Enter collections, payments, CapEx, funding received (rows 43–52). Closing Cash Balance and Runway auto-calculate.</t>
  </si>
  <si>
    <t xml:space="preserve">  Section 5 — HR</t>
  </si>
  <si>
    <t>Enter headcount, new hires, exits, payroll cost, training hours (rows 58–63).</t>
  </si>
  <si>
    <t xml:space="preserve">  Section 6 — Working Capital</t>
  </si>
  <si>
    <t>Enter Receivables, Inventory, Payables balances (rows 72–77). DSO, DPO, DIO and CCC auto-calculate in the 🔄 WORKING CAPITAL sheet.</t>
  </si>
  <si>
    <t xml:space="preserve">  Section 7 — Unit Economics</t>
  </si>
  <si>
    <t>Enter leads, conversions, churn, CAC (rows 82–89). LTV:CAC, Burn Multiple, Conversion % auto-calculate.</t>
  </si>
  <si>
    <t>STEP 2  ·  Set Current Month in BUDGET</t>
  </si>
  <si>
    <t>Go to 📋 BUDGET sheet → cell Q5. Change the number to the current reporting month (1=Apr, 2=May … 12=Mar). This controls ALL KPI Tracker and Dashboard comparisons.</t>
  </si>
  <si>
    <t>STEP 3  ·  Review KPI TRACKER</t>
  </si>
  <si>
    <t>Go to 📊 KPI TRACKER. Column C (Current Month) and D (Prior Month) auto-refresh. Column E (Budget) flows from 📋 BUDGET sheet. Column G shows ✅ / ⚠ / 🔴 status. Fill column E in BUDGET sheet Section D (rows 57–84) if targets need updating.</t>
  </si>
  <si>
    <t>STEP 4  ·  Review DASHBOARD</t>
  </si>
  <si>
    <t>Go to 🖥 DASHBOARD. All 16 tiles and the Actuals vs Budget table auto-refresh. The ⚖ Actuals vs Budget section shows Variance ₹ and Variance % for 14 KPIs. Green ✅ = on track / Yellow ⚠ = within 5% / Red 🔴 = off track.</t>
  </si>
  <si>
    <t>STEP 5  ·  AI Insights (Optional)</t>
  </si>
  <si>
    <t>Copy key numbers from the Dashboard. Go to 🤖 AI INSIGHTS sheet. Paste numbers into the data summary boxes and send to Claude at claude.ai with the prompt: 'Analyze this SME financial data and give 3 actionable insights.'</t>
  </si>
  <si>
    <t>STEP 6  ·  Export / Share</t>
  </si>
  <si>
    <t>For Board/Investor presentations: File → Export → PDF. Select 🖥 DASHBOARD sheet only for a clean one-page executive summary. Alternatively, print 📊 KPI TRACKER for a management review pack.</t>
  </si>
  <si>
    <t>🎯  SECTION 3  —  BUDGET SETUP  (One-Time Annual Task)</t>
  </si>
  <si>
    <t>Section A — Revenue Budget</t>
  </si>
  <si>
    <t>Rows 8–15: Enter monthly revenue budget per line (₹'000). Total auto-sums. Implied MoM Growth % shows automatically.</t>
  </si>
  <si>
    <t>Section B — Expense Budget</t>
  </si>
  <si>
    <t>Rows 21–30: Enter monthly cost budgets. Gross Profit, EBITDA, Net Profit, and margin % targets all auto-derive — no need to enter them manually.</t>
  </si>
  <si>
    <t>Section C — Cash Flow Budget</t>
  </si>
  <si>
    <t>Rows 44–50: Enter expected collections, payments, CapEx. OCF Budget and FCF Budget auto-calculate.</t>
  </si>
  <si>
    <t>Section D — KPI Targets  ⭐ Most Important</t>
  </si>
  <si>
    <t>Rows 57–84: Enter your target for each of the 28 KPIs. Sensible defaults are pre-filled. These feed directly into the KPI Tracker Budget column and Dashboard Actuals vs Budget section. CRITICAL: Percentages must be entered as decimals (e.g. 15% = 0.15, NOT 15).</t>
  </si>
  <si>
    <t>Section E — HR Budget</t>
  </si>
  <si>
    <t>Rows 89–93: Planned headcount, payroll, training and recruitment costs.</t>
  </si>
  <si>
    <t>⚙ Month Selector — Cell Q5</t>
  </si>
  <si>
    <t>Enter the current reporting month number: 1=Apr, 2=May, 3=Jun, 4=Jul, 5=Aug, 6=Sep, 7=Oct, 8=Nov, 9=Dec, 10=Jan, 11=Feb, 12=Mar. Update this every month. This single cell controls the entire budget comparison.</t>
  </si>
  <si>
    <t>📐  SECTION 4  —  KEY FORMULA LOGIC  (For Reference)</t>
  </si>
  <si>
    <t>DSO  (Days Sales Outstanding)</t>
  </si>
  <si>
    <t xml:space="preserve"> =(trade receivables ÷ Monthly Revenue) × 30     Target: &lt; 30 days)</t>
  </si>
  <si>
    <t>DPO  (Days Payable Outstanding)</t>
  </si>
  <si>
    <t xml:space="preserve"> =(trade payables ÷ COGS) × 30     Target: &gt; 30 days)</t>
  </si>
  <si>
    <t>DIO  (Days Inventory Outstanding)</t>
  </si>
  <si>
    <t xml:space="preserve"> =(inventory ÷ COGS) × 30     Target: Depends on industry)</t>
  </si>
  <si>
    <t>CCC  (Cash Conversion Cycle)</t>
  </si>
  <si>
    <t xml:space="preserve"> =dso + dio − DPO     Target: As low as possible (negative = best-in-class)</t>
  </si>
  <si>
    <t>OCF  (Operating Cash Flow)</t>
  </si>
  <si>
    <t xml:space="preserve"> =collections + other inflows − Vendor Payments − Salaries − Tax</t>
  </si>
  <si>
    <t>FCF  (Free Cash Flow)</t>
  </si>
  <si>
    <t xml:space="preserve"> =operating cash flow − Capital Expenditure (CapEx)</t>
  </si>
  <si>
    <t xml:space="preserve"> =ocf ÷ EBITDA     Target: &gt; 80%  (Measures how much EBITDA converts to real cash)</t>
  </si>
  <si>
    <t xml:space="preserve"> =collections from customers ÷ Revenue     Target: &gt; 90%</t>
  </si>
  <si>
    <t xml:space="preserve"> =total operating expenses ÷ Revenue     Target: Lower = more efficient</t>
  </si>
  <si>
    <t xml:space="preserve"> =(avg revenue per customer × 24 months) ÷ CAC     Target: &gt; 3x)</t>
  </si>
  <si>
    <t xml:space="preserve"> =|revenue − Total Expenses| ÷ Revenue     Target: &lt; 1.5x</t>
  </si>
  <si>
    <t>CAC Payback Period</t>
  </si>
  <si>
    <t xml:space="preserve"> =cac ÷ (Revenue per Customer × Gross Margin)     Target: &lt; 12 months</t>
  </si>
  <si>
    <t>Cash Runway</t>
  </si>
  <si>
    <t xml:space="preserve"> =closing cash balance ÷ |Monthly Burn|     Target: &gt; 12 months</t>
  </si>
  <si>
    <t xml:space="preserve"> =gross profit − Total OpEx     (Earnings Before Interest, Tax, Depreciation &amp; Amortisation)</t>
  </si>
  <si>
    <t xml:space="preserve"> =(revenue − COGS) ÷ Revenue     Target: SaaS &gt; 70% | Products &gt; 40% | Services &gt; 55%)</t>
  </si>
  <si>
    <t>💡  SECTION 5  —  TIPS,  COMMON MISTAKES  &amp;  FAQ</t>
  </si>
  <si>
    <t>❓ KPI Tracker shows 0 for all budget cells</t>
  </si>
  <si>
    <t>Go to 📋 BUDGET → Section D (rows 57–84) and enter your targets. Also confirm Q5 has the correct month number (1–12).</t>
  </si>
  <si>
    <t>❓ Dashboard shows wrong month's data</t>
  </si>
  <si>
    <t>Go to 📋 BUDGET → cell Q5. Change to the correct month number. 1=Apr, 2=May … 12=Mar. All scorecards and AVB table will refresh instantly.</t>
  </si>
  <si>
    <t>❓ Percentages show as very large numbers</t>
  </si>
  <si>
    <t>Enter percentages as decimals in the BUDGET sheet Section D. Example: 15% margin target = enter 0.15, NOT 15. The cells are pre-formatted to display as %.</t>
  </si>
  <si>
    <t>❓ CCC / DSO / DPO show 0 or errors</t>
  </si>
  <si>
    <t>You must enter Trade Receivables, Inventory and Trade Payables in 📥 RAW DATA INPUT → Section 6 (rows 72–77). These are often forgotten.</t>
  </si>
  <si>
    <t>❓ Churn / LTV:CAC show 0</t>
  </si>
  <si>
    <t>Enter your sales funnel data in 📥 RAW DATA INPUT → Section 7 (rows 82–89). Fill in: Total Leads, Qualified Leads, New Customers, Active Customers, Churned Customers, CAC.</t>
  </si>
  <si>
    <t>❓ Can I add more revenue lines?</t>
  </si>
  <si>
    <t>Yes. Insert rows inside the revenue input section (rows 15–22). The TOTAL REVENUE formula at row 23 will need to be extended to include new rows.</t>
  </si>
  <si>
    <t>❓ How do I change the currency?</t>
  </si>
  <si>
    <t>Go to 📥 RAW DATA INPUT → Row 5 (Currency cell D5) and update the label. Then use Find &amp; Replace (Ctrl+H) to update number formats if needed.</t>
  </si>
  <si>
    <t>❓ Can I use this for a different fiscal year?</t>
  </si>
  <si>
    <t>Yes. The months Apr–Mar can be relabelled by editing the header row in 📥 RAW DATA INPUT (row 14). Update the FY label in D5 (Setup section).</t>
  </si>
  <si>
    <t>✅ Best practice: Enter data on the 1st–3rd of each month</t>
  </si>
  <si>
    <t>Fill in the prior month's actuals at month-close. Update Budget Q5 to the new month. Review KPI Tracker and Dashboard. Share Dashboard PDF with team.</t>
  </si>
  <si>
    <t>✅ Protect formula sheets before sharing</t>
  </si>
  <si>
    <t>Use Excel's Review → Protect Sheet on all sheets EXCEPT 📥 RAW DATA INPUT and 📋 BUDGET. This prevents accidental formula edits.</t>
  </si>
  <si>
    <t>✅ Version-control your file</t>
  </si>
  <si>
    <t>Save a copy each month: 'MIS_Dashboard_Apr25.xlsx', 'MIS_Dashboard_May25.xlsx'. Keep a master template with zeros for starting each new year.</t>
  </si>
  <si>
    <t>🗺  SECTION 6  —  QUICK INPUT REFERENCE  MAP</t>
  </si>
  <si>
    <t>What to Enter</t>
  </si>
  <si>
    <t>Sheet  →  Rows / Cell  →  Description</t>
  </si>
  <si>
    <t>Company Setup  ›  📥 RAW DATA INPUT  ›  Rows 2–11</t>
  </si>
  <si>
    <t>Company name, FY, currency, industry</t>
  </si>
  <si>
    <t>Monthly Revenue  ›  📥 RAW DATA INPUT  ›  Rows 15–22</t>
  </si>
  <si>
    <t>8 revenue lines × 12 months</t>
  </si>
  <si>
    <t>Monthly Expenses  ›  📥 RAW DATA INPUT  ›  Rows 28–37</t>
  </si>
  <si>
    <t>10 expense categories × 12 months</t>
  </si>
  <si>
    <t>Cash Flow Items  ›  📥 RAW DATA INPUT  ›  Rows 43–52</t>
  </si>
  <si>
    <t>Collections, payments, CapEx, funding</t>
  </si>
  <si>
    <t>HR Metrics  ›  📥 RAW DATA INPUT  ›  Rows 58–63</t>
  </si>
  <si>
    <t>Headcount, hires, exits, payroll</t>
  </si>
  <si>
    <t>Working Capital  ›  📥 RAW DATA INPUT  ›  Rows 72–77</t>
  </si>
  <si>
    <t>Receivables, inventory, payables</t>
  </si>
  <si>
    <t>Unit Economics  ›  📥 RAW DATA INPUT  ›  Rows 82–89</t>
  </si>
  <si>
    <t>Leads, conversions, CAC, churn</t>
  </si>
  <si>
    <t>Revenue Budget  ›  📋 BUDGET  ›  Rows 8–15</t>
  </si>
  <si>
    <t>Monthly revenue targets</t>
  </si>
  <si>
    <t>Expense Budget  ›  📋 BUDGET  ›  Rows 21–30</t>
  </si>
  <si>
    <t>Monthly cost budgets</t>
  </si>
  <si>
    <t>Cash Flow Budget  ›  📋 BUDGET  ›  Rows 44–50</t>
  </si>
  <si>
    <t>Collections + payment targets</t>
  </si>
  <si>
    <t>KPI Targets  ›  📋 BUDGET  ›  Rows 57–84</t>
  </si>
  <si>
    <t>28 KPI targets — enter as decimals for %</t>
  </si>
  <si>
    <t>HR Budget  ›  📋 BUDGET  ›  Rows 89–93</t>
  </si>
  <si>
    <t>Headcount plan, payroll budget</t>
  </si>
  <si>
    <t>Current Month Selector  ›  📋 BUDGET  ›  Cell Q5</t>
  </si>
  <si>
    <t>1=Apr … 12=Mar  (update monthly!)</t>
  </si>
  <si>
    <t>AI Commentary  ›  🤖 AI INSIGHTS  ›  Rows 8–64</t>
  </si>
  <si>
    <t>Paste Claude AI analysis monthly</t>
  </si>
  <si>
    <t>🔵 Blue cells = Manual input     🟢 Green text = Cross-sheet formula     ⚫ Black text = Calculation     ✅ On Track     ⚠ Within 5%     🔴 Off Track / Below Budget</t>
  </si>
  <si>
    <t xml:space="preserve">    </t>
  </si>
  <si>
    <t>🤖  AI-POWERED INSIGHTS  &amp;  RECOMMENDATIONS</t>
  </si>
  <si>
    <t>Powered by Anthropic Claude  |  Paste your API key below to auto-generate insights</t>
  </si>
  <si>
    <t>🔑 Anthropic API Key:</t>
  </si>
  <si>
    <t>[Paste your API key here – sk-ant-...]</t>
  </si>
  <si>
    <t>💰 REVENUE &amp; GROWTH ANALYSIS</t>
  </si>
  <si>
    <t>📊 Data Summary:</t>
  </si>
  <si>
    <t>[Auto-populated from data sheets]</t>
  </si>
  <si>
    <t>🤖 AI Insight:</t>
  </si>
  <si>
    <t>[Click 'Generate AI Insights' macro or paste Claude output here]</t>
  </si>
  <si>
    <t>📉 PROFITABILITY ANALYSIS</t>
  </si>
  <si>
    <t>🏦 CASH FLOW &amp; LIQUIDITY</t>
  </si>
  <si>
    <t>👥 HR &amp; WORKFORCE INSIGHTS</t>
  </si>
  <si>
    <t>⚠ KEY RISKS &amp; RED FLAGS</t>
  </si>
  <si>
    <t>✅ STRATEGIC RECOMMENDATIONS</t>
  </si>
  <si>
    <t>📅 NEXT MONTH ACTION ITEMS</t>
  </si>
  <si>
    <t>📋  HOW TO USE AI INSIGHTS</t>
  </si>
  <si>
    <t>1. Fill in all data in the '📥 RAW DATA INPUT' sheet</t>
  </si>
  <si>
    <t>2. Paste your Anthropic API key in cell C5 above</t>
  </si>
  <si>
    <t>3. Copy the data summary from each section and send to Claude AI at claude.ai</t>
  </si>
  <si>
    <t>4. Suggested prompt: 'Analyze this SME MIS data and give 3 actionable insights with specific recommendations'</t>
  </si>
  <si>
    <t>5. Paste Claude's response in the AI Insight rows above</t>
  </si>
  <si>
    <t>6. Update insights monthly for a running strategic commentary</t>
  </si>
  <si>
    <t>💡 Pro Tip: Export the Dashboard sheet as PDF for Board/Investor presentations</t>
  </si>
  <si>
    <t>📊  STARTUP FINANCE  MIS DASHBOARD (Powered by TaxBizMantra.com)</t>
  </si>
  <si>
    <t>🔄  WORKING CAPITAL ANALYSIS  &amp;  EFFICIENCY RATIOS  (₹'000) (Powered by TaxBizMantra.com)</t>
  </si>
  <si>
    <t>📊  STARTUP FINANCE  KPI SCORECARD  —  MONTHLY (Powered by TaxBizMantra.com)</t>
  </si>
  <si>
    <t>📊  STARTUP FINANCE  MIS DASHBOARD
Powered by TaxBizMantra.com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</si>
</sst>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64" formatCode="#,##0;\(#,##0\);\-"/>
    <numFmt numFmtId="165" formatCode="\₹#,##0;&quot;(₹&quot;#,##0\);\-"/>
    <numFmt numFmtId="166" formatCode="0.0%;\(0.0%\);\-"/>
    <numFmt numFmtId="167" formatCode="0.0&quot; mo&quot;;0.0&quot; mo&quot;;\-"/>
    <numFmt numFmtId="168" formatCode="0.0&quot; days&quot;;0.0&quot; days&quot;;\-"/>
    <numFmt numFmtId="169" formatCode="0.00\x;0.00\x;\-"/>
    <numFmt numFmtId="170" formatCode="0.0\x;0.0\x;\-"/>
    <numFmt numFmtId="171" formatCode="0.0&quot; mo&quot;;\(0.0&quot; mo)&quot;;\-"/>
    <numFmt numFmtId="172" formatCode="0.0&quot; mo&quot;"/>
    <numFmt numFmtId="173" formatCode="0.0\x"/>
    <numFmt numFmtId="174" formatCode="0.0%"/>
    <numFmt numFmtId="175" formatCode="\₹#,##0"/>
    <numFmt numFmtId="176" formatCode="0.0"/>
    <numFmt numFmtId="177" formatCode="0.0&quot; d&quot;"/>
    <numFmt numFmtId="178" formatCode="0.0&quot; d&quot;;0.0&quot; d&quot;;\-"/>
    <numFmt numFmtId="179" formatCode="0.0&quot; days&quot;"/>
    <numFmt numFmtId="180" formatCode="0.00\x"/>
    <numFmt numFmtId="181" formatCode="0.0&quot; months&quot;"/>
  </numFmts>
  <fonts count="90" x14ac:knownFonts="1">
    <font>
      <sz val="11"/>
      <color theme="1"/>
      <name val="Calibri"/>
      <family val="2"/>
      <charset val="1"/>
    </font>
    <font>
      <sz val="11"/>
      <color theme="1"/>
      <name val="Times New Roman"/>
      <family val="1"/>
      <charset val="1"/>
    </font>
    <font>
      <b/>
      <sz val="26"/>
      <color rgb="FFD4AC0D"/>
      <name val="Times New Roman"/>
      <family val="1"/>
      <charset val="1"/>
    </font>
    <font>
      <sz val="13"/>
      <color rgb="FFAED6F1"/>
      <name val="Times New Roman"/>
      <family val="1"/>
      <charset val="1"/>
    </font>
    <font>
      <b/>
      <sz val="11"/>
      <color rgb="FFD4AC0D"/>
      <name val="Times New Roman"/>
      <family val="1"/>
      <charset val="1"/>
    </font>
    <font>
      <sz val="11"/>
      <color rgb="FFFFFFFF"/>
      <name val="Times New Roman"/>
      <family val="1"/>
      <charset val="1"/>
    </font>
    <font>
      <b/>
      <sz val="13"/>
      <color rgb="FFFFFFFF"/>
      <name val="Times New Roman"/>
      <family val="1"/>
      <charset val="1"/>
    </font>
    <font>
      <b/>
      <sz val="10"/>
      <color rgb="FF1B4F72"/>
      <name val="Times New Roman"/>
      <family val="1"/>
      <charset val="1"/>
    </font>
    <font>
      <sz val="10"/>
      <color rgb="FF5D6D7E"/>
      <name val="Times New Roman"/>
      <family val="1"/>
      <charset val="1"/>
    </font>
    <font>
      <b/>
      <sz val="10"/>
      <color rgb="FFD4AC0D"/>
      <name val="Times New Roman"/>
      <family val="1"/>
      <charset val="1"/>
    </font>
    <font>
      <b/>
      <sz val="10"/>
      <color rgb="FF117A65"/>
      <name val="Times New Roman"/>
      <family val="1"/>
      <charset val="1"/>
    </font>
    <font>
      <b/>
      <sz val="10"/>
      <color rgb="FFCA6F1E"/>
      <name val="Times New Roman"/>
      <family val="1"/>
      <charset val="1"/>
    </font>
    <font>
      <b/>
      <sz val="10"/>
      <color rgb="FF6C3483"/>
      <name val="Times New Roman"/>
      <family val="1"/>
      <charset val="1"/>
    </font>
    <font>
      <b/>
      <sz val="10"/>
      <color rgb="FF0E6655"/>
      <name val="Times New Roman"/>
      <family val="1"/>
      <charset val="1"/>
    </font>
    <font>
      <b/>
      <sz val="10"/>
      <color rgb="FF2E86C1"/>
      <name val="Times New Roman"/>
      <family val="1"/>
      <charset val="1"/>
    </font>
    <font>
      <i/>
      <sz val="9"/>
      <color rgb="FFBDC3C7"/>
      <name val="Times New Roman"/>
      <family val="1"/>
      <charset val="1"/>
    </font>
    <font>
      <b/>
      <sz val="10"/>
      <color rgb="FFFFFFFF"/>
      <name val="Times New Roman"/>
      <family val="1"/>
      <charset val="1"/>
    </font>
    <font>
      <b/>
      <sz val="10"/>
      <color rgb="FF2C3E50"/>
      <name val="Times New Roman"/>
      <family val="1"/>
      <charset val="1"/>
    </font>
    <font>
      <sz val="10"/>
      <color rgb="FF0000FF"/>
      <name val="Times New Roman"/>
      <family val="1"/>
      <charset val="1"/>
    </font>
    <font>
      <sz val="10"/>
      <color rgb="FF2C3E50"/>
      <name val="Times New Roman"/>
      <family val="1"/>
      <charset val="1"/>
    </font>
    <font>
      <b/>
      <sz val="10"/>
      <name val="Times New Roman"/>
      <family val="1"/>
      <charset val="1"/>
    </font>
    <font>
      <b/>
      <sz val="11"/>
      <name val="Times New Roman"/>
      <family val="1"/>
      <charset val="1"/>
    </font>
    <font>
      <b/>
      <sz val="11"/>
      <color rgb="FF117A65"/>
      <name val="Times New Roman"/>
      <family val="1"/>
      <charset val="1"/>
    </font>
    <font>
      <b/>
      <sz val="11"/>
      <color rgb="FFCA6F1E"/>
      <name val="Times New Roman"/>
      <family val="1"/>
      <charset val="1"/>
    </font>
    <font>
      <b/>
      <sz val="11"/>
      <color rgb="FF1B4F72"/>
      <name val="Times New Roman"/>
      <family val="1"/>
      <charset val="1"/>
    </font>
    <font>
      <b/>
      <sz val="22"/>
      <color rgb="FFFFFFFF"/>
      <name val="Times New Roman"/>
      <family val="1"/>
      <charset val="1"/>
    </font>
    <font>
      <b/>
      <sz val="9"/>
      <color rgb="FFFFFFFF"/>
      <name val="Times New Roman"/>
      <family val="1"/>
      <charset val="1"/>
    </font>
    <font>
      <i/>
      <sz val="11"/>
      <color rgb="FFAED6F1"/>
      <name val="Times New Roman"/>
      <family val="1"/>
      <charset val="1"/>
    </font>
    <font>
      <b/>
      <sz val="16"/>
      <color rgb="FF0000FF"/>
      <name val="Times New Roman"/>
      <family val="1"/>
      <charset val="1"/>
    </font>
    <font>
      <i/>
      <sz val="8"/>
      <color rgb="FF5D6D7E"/>
      <name val="Times New Roman"/>
      <family val="1"/>
      <charset val="1"/>
    </font>
    <font>
      <i/>
      <sz val="9"/>
      <color rgb="FF5D6D7E"/>
      <name val="Times New Roman"/>
      <family val="1"/>
      <charset val="1"/>
    </font>
    <font>
      <b/>
      <sz val="11"/>
      <color rgb="FFFFFFFF"/>
      <name val="Times New Roman"/>
      <family val="1"/>
      <charset val="1"/>
    </font>
    <font>
      <sz val="10"/>
      <color rgb="FF000000"/>
      <name val="Times New Roman"/>
      <family val="1"/>
      <charset val="1"/>
    </font>
    <font>
      <sz val="10"/>
      <color rgb="FF117A65"/>
      <name val="Times New Roman"/>
      <family val="1"/>
      <charset val="1"/>
    </font>
    <font>
      <sz val="10"/>
      <color rgb="FF1B4F72"/>
      <name val="Times New Roman"/>
      <family val="1"/>
      <charset val="1"/>
    </font>
    <font>
      <sz val="10"/>
      <color rgb="FFD4AC0D"/>
      <name val="Times New Roman"/>
      <family val="1"/>
      <charset val="1"/>
    </font>
    <font>
      <sz val="10"/>
      <color rgb="FFCA6F1E"/>
      <name val="Times New Roman"/>
      <family val="1"/>
      <charset val="1"/>
    </font>
    <font>
      <b/>
      <i/>
      <sz val="10"/>
      <color rgb="FF1B4F72"/>
      <name val="Arial"/>
      <charset val="1"/>
    </font>
    <font>
      <b/>
      <sz val="10"/>
      <color rgb="FFFFFFFF"/>
      <name val="Arial"/>
      <charset val="1"/>
    </font>
    <font>
      <sz val="8"/>
      <color rgb="FFBDC3C7"/>
      <name val="Times New Roman"/>
      <family val="1"/>
      <charset val="1"/>
    </font>
    <font>
      <sz val="10"/>
      <color rgb="FF006400"/>
      <name val="Arial"/>
      <charset val="1"/>
    </font>
    <font>
      <b/>
      <sz val="10"/>
      <color rgb="FF5D6D7E"/>
      <name val="Times New Roman"/>
      <family val="1"/>
      <charset val="1"/>
    </font>
    <font>
      <i/>
      <sz val="9"/>
      <color rgb="FF1E8449"/>
      <name val="Arial"/>
      <charset val="1"/>
    </font>
    <font>
      <sz val="10"/>
      <color rgb="FF0000FF"/>
      <name val="Arial"/>
      <charset val="1"/>
    </font>
    <font>
      <i/>
      <sz val="9"/>
      <color rgb="FF922B21"/>
      <name val="Arial"/>
      <charset val="1"/>
    </font>
    <font>
      <sz val="10"/>
      <name val="Times New Roman"/>
      <family val="1"/>
      <charset val="1"/>
    </font>
    <font>
      <b/>
      <sz val="12"/>
      <color rgb="FFFFFFFF"/>
      <name val="Times New Roman"/>
      <family val="1"/>
      <charset val="1"/>
    </font>
    <font>
      <sz val="10"/>
      <color rgb="FFFFFFFF"/>
      <name val="Times New Roman"/>
      <family val="1"/>
      <charset val="1"/>
    </font>
    <font>
      <sz val="10"/>
      <color rgb="FF0B5345"/>
      <name val="Times New Roman"/>
      <family val="1"/>
      <charset val="1"/>
    </font>
    <font>
      <b/>
      <sz val="10"/>
      <color rgb="FF0B5345"/>
      <name val="Times New Roman"/>
      <family val="1"/>
      <charset val="1"/>
    </font>
    <font>
      <sz val="10"/>
      <color rgb="FF7D6608"/>
      <name val="Times New Roman"/>
      <family val="1"/>
      <charset val="1"/>
    </font>
    <font>
      <b/>
      <sz val="10"/>
      <color rgb="FF7D6608"/>
      <name val="Times New Roman"/>
      <family val="1"/>
      <charset val="1"/>
    </font>
    <font>
      <sz val="10"/>
      <color rgb="FF006400"/>
      <name val="Times New Roman"/>
      <family val="1"/>
      <charset val="1"/>
    </font>
    <font>
      <b/>
      <sz val="10"/>
      <color rgb="FF006400"/>
      <name val="Times New Roman"/>
      <family val="1"/>
      <charset val="1"/>
    </font>
    <font>
      <sz val="10"/>
      <color theme="9" tint="-0.499984740745262"/>
      <name val="Times New Roman"/>
      <family val="1"/>
      <charset val="1"/>
    </font>
    <font>
      <sz val="10"/>
      <color rgb="FF6C3483"/>
      <name val="Times New Roman"/>
      <family val="1"/>
      <charset val="1"/>
    </font>
    <font>
      <sz val="10"/>
      <color rgb="FF008000"/>
      <name val="Times New Roman"/>
      <family val="1"/>
      <charset val="1"/>
    </font>
    <font>
      <b/>
      <sz val="10"/>
      <color rgb="FF000000"/>
      <name val="Times New Roman"/>
      <family val="1"/>
      <charset val="1"/>
    </font>
    <font>
      <b/>
      <sz val="24"/>
      <color rgb="FFFFFFFF"/>
      <name val="Times New Roman"/>
      <family val="1"/>
      <charset val="1"/>
    </font>
    <font>
      <b/>
      <sz val="8"/>
      <color rgb="FFFFFFFF"/>
      <name val="Times New Roman"/>
      <family val="1"/>
      <charset val="1"/>
    </font>
    <font>
      <b/>
      <sz val="8"/>
      <color rgb="FF2C3E50"/>
      <name val="Times New Roman"/>
      <family val="1"/>
      <charset val="1"/>
    </font>
    <font>
      <b/>
      <sz val="14"/>
      <color rgb="FFFFFFFF"/>
      <name val="Times New Roman"/>
      <family val="1"/>
      <charset val="1"/>
    </font>
    <font>
      <b/>
      <sz val="14"/>
      <color rgb="FF2C3E50"/>
      <name val="Times New Roman"/>
      <family val="1"/>
      <charset val="1"/>
    </font>
    <font>
      <b/>
      <sz val="8"/>
      <color rgb="FFD4AC0D"/>
      <name val="Times New Roman"/>
      <family val="1"/>
      <charset val="1"/>
    </font>
    <font>
      <b/>
      <sz val="8"/>
      <color rgb="FF117A65"/>
      <name val="Times New Roman"/>
      <family val="1"/>
      <charset val="1"/>
    </font>
    <font>
      <b/>
      <sz val="8"/>
      <color rgb="FFCA6F1E"/>
      <name val="Times New Roman"/>
      <family val="1"/>
      <charset val="1"/>
    </font>
    <font>
      <b/>
      <sz val="8"/>
      <color rgb="FF922B21"/>
      <name val="Times New Roman"/>
      <family val="1"/>
      <charset val="1"/>
    </font>
    <font>
      <b/>
      <sz val="14"/>
      <color rgb="FFD4AC0D"/>
      <name val="Times New Roman"/>
      <family val="1"/>
      <charset val="1"/>
    </font>
    <font>
      <b/>
      <sz val="14"/>
      <color rgb="FF117A65"/>
      <name val="Times New Roman"/>
      <family val="1"/>
      <charset val="1"/>
    </font>
    <font>
      <b/>
      <sz val="14"/>
      <color rgb="FFCA6F1E"/>
      <name val="Times New Roman"/>
      <family val="1"/>
      <charset val="1"/>
    </font>
    <font>
      <b/>
      <sz val="14"/>
      <color rgb="FF922B21"/>
      <name val="Times New Roman"/>
      <family val="1"/>
      <charset val="1"/>
    </font>
    <font>
      <b/>
      <sz val="9"/>
      <color rgb="FF117A65"/>
      <name val="Times New Roman"/>
      <family val="1"/>
      <charset val="1"/>
    </font>
    <font>
      <sz val="9"/>
      <color rgb="FF008000"/>
      <name val="Times New Roman"/>
      <family val="1"/>
      <charset val="1"/>
    </font>
    <font>
      <b/>
      <sz val="9"/>
      <color rgb="FF1B4F72"/>
      <name val="Times New Roman"/>
      <family val="1"/>
      <charset val="1"/>
    </font>
    <font>
      <b/>
      <sz val="9"/>
      <color rgb="FFD4AC0D"/>
      <name val="Times New Roman"/>
      <family val="1"/>
      <charset val="1"/>
    </font>
    <font>
      <b/>
      <sz val="9"/>
      <color rgb="FFCA6F1E"/>
      <name val="Times New Roman"/>
      <family val="1"/>
      <charset val="1"/>
    </font>
    <font>
      <b/>
      <sz val="10"/>
      <color rgb="FF1A5276"/>
      <name val="Times New Roman"/>
      <family val="1"/>
      <charset val="1"/>
    </font>
    <font>
      <sz val="10"/>
      <color rgb="FF1A5276"/>
      <name val="Times New Roman"/>
      <family val="1"/>
      <charset val="1"/>
    </font>
    <font>
      <b/>
      <sz val="13"/>
      <color rgb="FF2C3E50"/>
      <name val="Times New Roman"/>
      <family val="1"/>
      <charset val="1"/>
    </font>
    <font>
      <i/>
      <sz val="9"/>
      <color rgb="FF7D6608"/>
      <name val="Times New Roman"/>
      <family val="1"/>
      <charset val="1"/>
    </font>
    <font>
      <b/>
      <sz val="10"/>
      <color rgb="FF922B21"/>
      <name val="Times New Roman"/>
      <family val="1"/>
      <charset val="1"/>
    </font>
    <font>
      <sz val="10"/>
      <color rgb="FF922B21"/>
      <name val="Times New Roman"/>
      <family val="1"/>
      <charset val="1"/>
    </font>
    <font>
      <i/>
      <sz val="9"/>
      <color rgb="FF6C3483"/>
      <name val="Times New Roman"/>
      <family val="1"/>
      <charset val="1"/>
    </font>
    <font>
      <b/>
      <sz val="20"/>
      <color rgb="FFFFFFFF"/>
      <name val="Times New Roman"/>
      <family val="1"/>
      <charset val="1"/>
    </font>
    <font>
      <b/>
      <sz val="10"/>
      <color rgb="FF0D1B2A"/>
      <name val="Times New Roman"/>
      <family val="1"/>
      <charset val="1"/>
    </font>
    <font>
      <b/>
      <sz val="22"/>
      <color rgb="FFD4AC0D"/>
      <name val="Times New Roman"/>
      <family val="1"/>
      <charset val="1"/>
    </font>
    <font>
      <sz val="11"/>
      <color rgb="FF0000FF"/>
      <name val="Times New Roman"/>
      <family val="1"/>
      <charset val="1"/>
    </font>
    <font>
      <sz val="10"/>
      <color rgb="FFBDC3C7"/>
      <name val="Times New Roman"/>
      <family val="1"/>
      <charset val="1"/>
    </font>
    <font>
      <sz val="10"/>
      <color rgb="FFAED6F1"/>
      <name val="Times New Roman"/>
      <family val="1"/>
      <charset val="1"/>
    </font>
    <font>
      <b/>
      <i/>
      <sz val="10"/>
      <color rgb="FFD4AC0D"/>
      <name val="Times New Roman"/>
      <family val="1"/>
      <charset val="1"/>
    </font>
  </fonts>
  <fills count="34">
    <fill>
      <patternFill patternType="none"/>
    </fill>
    <fill>
      <patternFill patternType="gray125"/>
    </fill>
    <fill>
      <patternFill patternType="solid">
        <fgColor rgb="FF0D1B2A"/>
        <bgColor rgb="FF0D1F30"/>
      </patternFill>
    </fill>
    <fill>
      <patternFill patternType="solid">
        <fgColor rgb="FFD4AC0D"/>
        <bgColor rgb="FFF08C40"/>
      </patternFill>
    </fill>
    <fill>
      <patternFill patternType="solid">
        <fgColor rgb="FF1B4F72"/>
        <bgColor rgb="FF1A5276"/>
      </patternFill>
    </fill>
    <fill>
      <patternFill patternType="solid">
        <fgColor rgb="FF2E86C1"/>
        <bgColor rgb="FF4473AA"/>
      </patternFill>
    </fill>
    <fill>
      <patternFill patternType="solid">
        <fgColor rgb="FFD6EAF8"/>
        <bgColor rgb="FFD5F5E3"/>
      </patternFill>
    </fill>
    <fill>
      <patternFill patternType="solid">
        <fgColor rgb="FFFCF3CF"/>
        <bgColor rgb="FFFDEDEC"/>
      </patternFill>
    </fill>
    <fill>
      <patternFill patternType="solid">
        <fgColor rgb="FFD5F5E3"/>
        <bgColor rgb="FFD6EAF8"/>
      </patternFill>
    </fill>
    <fill>
      <patternFill patternType="solid">
        <fgColor rgb="FFFAE5D3"/>
        <bgColor rgb="FFFDEDEC"/>
      </patternFill>
    </fill>
    <fill>
      <patternFill patternType="solid">
        <fgColor rgb="FFF5EEF8"/>
        <bgColor rgb="FFF2F3F4"/>
      </patternFill>
    </fill>
    <fill>
      <patternFill patternType="solid">
        <fgColor rgb="FFFFFFFF"/>
        <bgColor rgb="FFF9F9F9"/>
      </patternFill>
    </fill>
    <fill>
      <patternFill patternType="solid">
        <fgColor rgb="FFF2F3F4"/>
        <bgColor rgb="FFF5EEF8"/>
      </patternFill>
    </fill>
    <fill>
      <patternFill patternType="solid">
        <fgColor rgb="FF117A65"/>
        <bgColor rgb="FF1E8449"/>
      </patternFill>
    </fill>
    <fill>
      <patternFill patternType="solid">
        <fgColor rgb="FF155A40"/>
        <bgColor rgb="FF0B5345"/>
      </patternFill>
    </fill>
    <fill>
      <patternFill patternType="solid">
        <fgColor rgb="FFA9DFBF"/>
        <bgColor rgb="FFAED6F1"/>
      </patternFill>
    </fill>
    <fill>
      <patternFill patternType="solid">
        <fgColor rgb="FFCA6F1E"/>
        <bgColor rgb="FF9A7D0A"/>
      </patternFill>
    </fill>
    <fill>
      <patternFill patternType="solid">
        <fgColor rgb="FFA04000"/>
        <bgColor rgb="FF984807"/>
      </patternFill>
    </fill>
    <fill>
      <patternFill patternType="solid">
        <fgColor rgb="FFAED6F1"/>
        <bgColor rgb="FFA9DFBF"/>
      </patternFill>
    </fill>
    <fill>
      <patternFill patternType="solid">
        <fgColor rgb="FF6C3483"/>
        <bgColor rgb="FF5B2C6F"/>
      </patternFill>
    </fill>
    <fill>
      <patternFill patternType="solid">
        <fgColor rgb="FF7D3C98"/>
        <bgColor rgb="FF6C3483"/>
      </patternFill>
    </fill>
    <fill>
      <patternFill patternType="solid">
        <fgColor rgb="FF0E6655"/>
        <bgColor rgb="FF155A40"/>
      </patternFill>
    </fill>
    <fill>
      <patternFill patternType="solid">
        <fgColor theme="6" tint="0.39988402966399123"/>
        <bgColor rgb="FFB4CC90"/>
      </patternFill>
    </fill>
    <fill>
      <patternFill patternType="solid">
        <fgColor rgb="FFEAFAF1"/>
        <bgColor rgb="FFF2F3F4"/>
      </patternFill>
    </fill>
    <fill>
      <patternFill patternType="solid">
        <fgColor rgb="FFFDEDEC"/>
        <bgColor rgb="FFF5EEF8"/>
      </patternFill>
    </fill>
    <fill>
      <patternFill patternType="solid">
        <fgColor rgb="FF7D6608"/>
        <bgColor rgb="FF9A7D0A"/>
      </patternFill>
    </fill>
    <fill>
      <patternFill patternType="solid">
        <fgColor rgb="FF9A7D0A"/>
        <bgColor rgb="FF7D6608"/>
      </patternFill>
    </fill>
    <fill>
      <patternFill patternType="solid">
        <fgColor rgb="FF784212"/>
        <bgColor rgb="FF984807"/>
      </patternFill>
    </fill>
    <fill>
      <patternFill patternType="solid">
        <fgColor rgb="FF5B2C6F"/>
        <bgColor rgb="FF6C3483"/>
      </patternFill>
    </fill>
    <fill>
      <patternFill patternType="solid">
        <fgColor rgb="FFDAB9DB"/>
        <bgColor rgb="FFBDC3C7"/>
      </patternFill>
    </fill>
    <fill>
      <patternFill patternType="solid">
        <fgColor rgb="FF1A5276"/>
        <bgColor rgb="FF1B4F72"/>
      </patternFill>
    </fill>
    <fill>
      <patternFill patternType="solid">
        <fgColor rgb="FF0A1628"/>
        <bgColor rgb="FF0D1B2A"/>
      </patternFill>
    </fill>
    <fill>
      <patternFill patternType="solid">
        <fgColor rgb="FF922B21"/>
        <bgColor rgb="FFA04000"/>
      </patternFill>
    </fill>
    <fill>
      <patternFill patternType="solid">
        <fgColor rgb="FF0D1F30"/>
        <bgColor rgb="FF0D1B2A"/>
      </patternFill>
    </fill>
  </fills>
  <borders count="8">
    <border>
      <left/>
      <right/>
      <top/>
      <bottom/>
      <diagonal/>
    </border>
    <border>
      <left style="thin">
        <color rgb="FFBDC3C7"/>
      </left>
      <right/>
      <top style="thin">
        <color rgb="FFBDC3C7"/>
      </top>
      <bottom/>
      <diagonal/>
    </border>
    <border>
      <left style="medium">
        <color rgb="FF0D1B2A"/>
      </left>
      <right/>
      <top style="medium">
        <color rgb="FF0D1B2A"/>
      </top>
      <bottom style="medium">
        <color rgb="FF0D1B2A"/>
      </bottom>
      <diagonal/>
    </border>
    <border>
      <left style="thin">
        <color rgb="FFBDC3C7"/>
      </left>
      <right style="thin">
        <color rgb="FFBDC3C7"/>
      </right>
      <top style="thin">
        <color rgb="FFBDC3C7"/>
      </top>
      <bottom style="thin">
        <color rgb="FFBDC3C7"/>
      </bottom>
      <diagonal/>
    </border>
    <border>
      <left style="thin">
        <color rgb="FFBDC3C7"/>
      </left>
      <right style="thin">
        <color rgb="FFBDC3C7"/>
      </right>
      <top style="thin">
        <color rgb="FFBDC3C7"/>
      </top>
      <bottom/>
      <diagonal/>
    </border>
    <border>
      <left style="medium">
        <color rgb="FF0D1B2A"/>
      </left>
      <right style="medium">
        <color rgb="FF0D1B2A"/>
      </right>
      <top style="medium">
        <color rgb="FF0D1B2A"/>
      </top>
      <bottom style="medium">
        <color rgb="FF0D1B2A"/>
      </bottom>
      <diagonal/>
    </border>
    <border>
      <left style="thin">
        <color rgb="FFBDC3C7"/>
      </left>
      <right/>
      <top style="thin">
        <color rgb="FFBDC3C7"/>
      </top>
      <bottom style="thin">
        <color rgb="FFBDC3C7"/>
      </bottom>
      <diagonal/>
    </border>
    <border>
      <left style="medium">
        <color rgb="FF0D1B2A"/>
      </left>
      <right style="thin">
        <color rgb="FFBDC3C7"/>
      </right>
      <top style="medium">
        <color rgb="FF0D1B2A"/>
      </top>
      <bottom style="medium">
        <color rgb="FF0D1B2A"/>
      </bottom>
      <diagonal/>
    </border>
  </borders>
  <cellStyleXfs count="1">
    <xf numFmtId="0" fontId="0" fillId="0" borderId="0"/>
  </cellStyleXfs>
  <cellXfs count="474">
    <xf numFmtId="0" fontId="0" fillId="0" borderId="0" xfId="0"/>
    <xf numFmtId="0" fontId="4" fillId="2" borderId="0" xfId="0" applyFont="1" applyFill="1" applyAlignment="1">
      <alignment horizontal="left" vertical="center" wrapText="1"/>
    </xf>
    <xf numFmtId="0" fontId="1" fillId="3" borderId="0" xfId="0" applyFont="1" applyFill="1"/>
    <xf numFmtId="0" fontId="1" fillId="0" borderId="0" xfId="0" applyFont="1"/>
    <xf numFmtId="0" fontId="1" fillId="2" borderId="0" xfId="0" applyFont="1" applyFill="1"/>
    <xf numFmtId="0" fontId="16" fillId="4" borderId="3" xfId="0" applyFont="1" applyFill="1" applyBorder="1" applyAlignment="1">
      <alignment horizontal="center" vertical="center" wrapText="1"/>
    </xf>
    <xf numFmtId="0" fontId="17" fillId="11" borderId="3" xfId="0" applyFont="1" applyFill="1" applyBorder="1" applyAlignment="1">
      <alignment horizontal="left" vertical="center" wrapText="1"/>
    </xf>
    <xf numFmtId="0" fontId="18" fillId="11" borderId="3" xfId="0" applyFont="1" applyFill="1" applyBorder="1" applyAlignment="1">
      <alignment horizontal="left" vertical="center" wrapText="1"/>
    </xf>
    <xf numFmtId="0" fontId="19" fillId="11" borderId="3" xfId="0" applyFont="1" applyFill="1" applyBorder="1" applyAlignment="1">
      <alignment horizontal="left" vertical="center" wrapText="1"/>
    </xf>
    <xf numFmtId="0" fontId="17" fillId="12" borderId="3" xfId="0" applyFont="1" applyFill="1" applyBorder="1" applyAlignment="1">
      <alignment horizontal="left" vertical="center" wrapText="1"/>
    </xf>
    <xf numFmtId="0" fontId="18" fillId="12" borderId="3" xfId="0" applyFont="1" applyFill="1" applyBorder="1" applyAlignment="1">
      <alignment horizontal="left" vertical="center" wrapText="1"/>
    </xf>
    <xf numFmtId="0" fontId="19" fillId="12" borderId="3" xfId="0" applyFont="1" applyFill="1" applyBorder="1" applyAlignment="1">
      <alignment horizontal="left" vertical="center" wrapText="1"/>
    </xf>
    <xf numFmtId="0" fontId="16" fillId="14" borderId="3" xfId="0" applyFont="1" applyFill="1" applyBorder="1" applyAlignment="1">
      <alignment horizontal="center" vertical="center" wrapText="1"/>
    </xf>
    <xf numFmtId="0" fontId="20" fillId="11" borderId="3" xfId="0" applyFont="1" applyFill="1" applyBorder="1"/>
    <xf numFmtId="164" fontId="18" fillId="11" borderId="3" xfId="0" applyNumberFormat="1" applyFont="1" applyFill="1" applyBorder="1" applyAlignment="1">
      <alignment horizontal="right" vertical="center"/>
    </xf>
    <xf numFmtId="0" fontId="20" fillId="8" borderId="3" xfId="0" applyFont="1" applyFill="1" applyBorder="1"/>
    <xf numFmtId="0" fontId="21" fillId="15" borderId="3" xfId="0" applyFont="1" applyFill="1" applyBorder="1"/>
    <xf numFmtId="164" fontId="22" fillId="15" borderId="3" xfId="0" applyNumberFormat="1" applyFont="1" applyFill="1" applyBorder="1" applyAlignment="1">
      <alignment horizontal="right" vertical="center"/>
    </xf>
    <xf numFmtId="0" fontId="16" fillId="17" borderId="3" xfId="0" applyFont="1" applyFill="1" applyBorder="1" applyAlignment="1">
      <alignment horizontal="center" vertical="center" wrapText="1"/>
    </xf>
    <xf numFmtId="0" fontId="20" fillId="9" borderId="3" xfId="0" applyFont="1" applyFill="1" applyBorder="1"/>
    <xf numFmtId="0" fontId="21" fillId="9" borderId="3" xfId="0" applyFont="1" applyFill="1" applyBorder="1"/>
    <xf numFmtId="164" fontId="23" fillId="9" borderId="3" xfId="0" applyNumberFormat="1" applyFont="1" applyFill="1" applyBorder="1" applyAlignment="1">
      <alignment horizontal="right" vertical="center"/>
    </xf>
    <xf numFmtId="0" fontId="16" fillId="5" borderId="3" xfId="0" applyFont="1" applyFill="1" applyBorder="1" applyAlignment="1">
      <alignment horizontal="center" vertical="center" wrapText="1"/>
    </xf>
    <xf numFmtId="0" fontId="20" fillId="6" borderId="3" xfId="0" applyFont="1" applyFill="1" applyBorder="1"/>
    <xf numFmtId="0" fontId="21" fillId="18" borderId="3" xfId="0" applyFont="1" applyFill="1" applyBorder="1"/>
    <xf numFmtId="164" fontId="24" fillId="18" borderId="3" xfId="0" applyNumberFormat="1" applyFont="1" applyFill="1" applyBorder="1" applyAlignment="1">
      <alignment horizontal="right" vertical="center"/>
    </xf>
    <xf numFmtId="0" fontId="16" fillId="20" borderId="3" xfId="0" applyFont="1" applyFill="1" applyBorder="1" applyAlignment="1">
      <alignment horizontal="center" vertical="center" wrapText="1"/>
    </xf>
    <xf numFmtId="0" fontId="20" fillId="10" borderId="3" xfId="0" applyFont="1" applyFill="1" applyBorder="1"/>
    <xf numFmtId="0" fontId="16" fillId="21" borderId="3" xfId="0" applyFont="1" applyFill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left" vertical="center" wrapText="1"/>
    </xf>
    <xf numFmtId="164" fontId="18" fillId="8" borderId="3" xfId="0" applyNumberFormat="1" applyFont="1" applyFill="1" applyBorder="1" applyAlignment="1">
      <alignment horizontal="right" vertical="center"/>
    </xf>
    <xf numFmtId="0" fontId="13" fillId="11" borderId="3" xfId="0" applyFont="1" applyFill="1" applyBorder="1" applyAlignment="1">
      <alignment horizontal="left" vertical="center" wrapText="1"/>
    </xf>
    <xf numFmtId="0" fontId="12" fillId="10" borderId="3" xfId="0" applyFont="1" applyFill="1" applyBorder="1"/>
    <xf numFmtId="164" fontId="18" fillId="10" borderId="3" xfId="0" applyNumberFormat="1" applyFont="1" applyFill="1" applyBorder="1" applyAlignment="1">
      <alignment horizontal="right" vertical="center"/>
    </xf>
    <xf numFmtId="0" fontId="12" fillId="11" borderId="3" xfId="0" applyFont="1" applyFill="1" applyBorder="1"/>
    <xf numFmtId="1" fontId="28" fillId="7" borderId="5" xfId="0" applyNumberFormat="1" applyFont="1" applyFill="1" applyBorder="1" applyAlignment="1">
      <alignment horizontal="center" vertical="center" wrapText="1"/>
    </xf>
    <xf numFmtId="0" fontId="29" fillId="12" borderId="3" xfId="0" applyFont="1" applyFill="1" applyBorder="1" applyAlignment="1">
      <alignment horizontal="center" vertical="center" wrapText="1"/>
    </xf>
    <xf numFmtId="0" fontId="22" fillId="8" borderId="5" xfId="0" applyFont="1" applyFill="1" applyBorder="1" applyAlignment="1">
      <alignment horizontal="center" vertical="center" wrapText="1"/>
    </xf>
    <xf numFmtId="0" fontId="17" fillId="8" borderId="3" xfId="0" applyFont="1" applyFill="1" applyBorder="1" applyAlignment="1">
      <alignment horizontal="left" vertical="center" wrapText="1"/>
    </xf>
    <xf numFmtId="165" fontId="18" fillId="8" borderId="3" xfId="0" applyNumberFormat="1" applyFont="1" applyFill="1" applyBorder="1" applyAlignment="1">
      <alignment horizontal="right" vertical="center"/>
    </xf>
    <xf numFmtId="165" fontId="10" fillId="8" borderId="3" xfId="0" applyNumberFormat="1" applyFont="1" applyFill="1" applyBorder="1" applyAlignment="1">
      <alignment horizontal="right" vertical="center"/>
    </xf>
    <xf numFmtId="0" fontId="30" fillId="12" borderId="3" xfId="0" applyFont="1" applyFill="1" applyBorder="1" applyAlignment="1">
      <alignment horizontal="left" vertical="center" wrapText="1"/>
    </xf>
    <xf numFmtId="0" fontId="31" fillId="13" borderId="3" xfId="0" applyFont="1" applyFill="1" applyBorder="1" applyAlignment="1">
      <alignment horizontal="left" vertical="center" wrapText="1"/>
    </xf>
    <xf numFmtId="165" fontId="31" fillId="13" borderId="3" xfId="0" applyNumberFormat="1" applyFont="1" applyFill="1" applyBorder="1" applyAlignment="1">
      <alignment horizontal="right" vertical="center"/>
    </xf>
    <xf numFmtId="0" fontId="10" fillId="8" borderId="3" xfId="0" applyFont="1" applyFill="1" applyBorder="1" applyAlignment="1">
      <alignment horizontal="left" vertical="center" wrapText="1"/>
    </xf>
    <xf numFmtId="0" fontId="1" fillId="8" borderId="3" xfId="0" applyFont="1" applyFill="1" applyBorder="1" applyAlignment="1">
      <alignment horizontal="center" vertical="center" wrapText="1"/>
    </xf>
    <xf numFmtId="166" fontId="32" fillId="8" borderId="3" xfId="0" applyNumberFormat="1" applyFont="1" applyFill="1" applyBorder="1" applyAlignment="1">
      <alignment horizontal="right" vertical="center"/>
    </xf>
    <xf numFmtId="0" fontId="17" fillId="6" borderId="3" xfId="0" applyFont="1" applyFill="1" applyBorder="1" applyAlignment="1">
      <alignment horizontal="left" vertical="center" wrapText="1"/>
    </xf>
    <xf numFmtId="165" fontId="18" fillId="6" borderId="3" xfId="0" applyNumberFormat="1" applyFont="1" applyFill="1" applyBorder="1" applyAlignment="1">
      <alignment horizontal="right" vertical="center"/>
    </xf>
    <xf numFmtId="165" fontId="7" fillId="6" borderId="3" xfId="0" applyNumberFormat="1" applyFont="1" applyFill="1" applyBorder="1" applyAlignment="1">
      <alignment horizontal="right" vertical="center"/>
    </xf>
    <xf numFmtId="0" fontId="31" fillId="4" borderId="3" xfId="0" applyFont="1" applyFill="1" applyBorder="1" applyAlignment="1">
      <alignment horizontal="left" vertical="center" wrapText="1"/>
    </xf>
    <xf numFmtId="165" fontId="31" fillId="4" borderId="3" xfId="0" applyNumberFormat="1" applyFont="1" applyFill="1" applyBorder="1" applyAlignment="1">
      <alignment horizontal="right" vertical="center"/>
    </xf>
    <xf numFmtId="165" fontId="33" fillId="8" borderId="3" xfId="0" applyNumberFormat="1" applyFont="1" applyFill="1" applyBorder="1" applyAlignment="1">
      <alignment horizontal="right" vertical="center"/>
    </xf>
    <xf numFmtId="165" fontId="10" fillId="7" borderId="3" xfId="0" applyNumberFormat="1" applyFont="1" applyFill="1" applyBorder="1" applyAlignment="1">
      <alignment horizontal="right" vertical="center"/>
    </xf>
    <xf numFmtId="166" fontId="33" fillId="8" borderId="3" xfId="0" applyNumberFormat="1" applyFont="1" applyFill="1" applyBorder="1" applyAlignment="1">
      <alignment horizontal="right" vertical="center"/>
    </xf>
    <xf numFmtId="166" fontId="10" fillId="7" borderId="3" xfId="0" applyNumberFormat="1" applyFont="1" applyFill="1" applyBorder="1" applyAlignment="1">
      <alignment horizontal="right" vertical="center"/>
    </xf>
    <xf numFmtId="166" fontId="30" fillId="12" borderId="3" xfId="0" applyNumberFormat="1" applyFont="1" applyFill="1" applyBorder="1" applyAlignment="1">
      <alignment horizontal="left" vertical="center" wrapText="1"/>
    </xf>
    <xf numFmtId="0" fontId="7" fillId="6" borderId="3" xfId="0" applyFont="1" applyFill="1" applyBorder="1" applyAlignment="1">
      <alignment horizontal="left" vertical="center" wrapText="1"/>
    </xf>
    <xf numFmtId="165" fontId="34" fillId="6" borderId="3" xfId="0" applyNumberFormat="1" applyFont="1" applyFill="1" applyBorder="1" applyAlignment="1">
      <alignment horizontal="right" vertical="center"/>
    </xf>
    <xf numFmtId="165" fontId="7" fillId="7" borderId="3" xfId="0" applyNumberFormat="1" applyFont="1" applyFill="1" applyBorder="1" applyAlignment="1">
      <alignment horizontal="right" vertical="center"/>
    </xf>
    <xf numFmtId="0" fontId="9" fillId="7" borderId="3" xfId="0" applyFont="1" applyFill="1" applyBorder="1" applyAlignment="1">
      <alignment horizontal="left" vertical="center" wrapText="1"/>
    </xf>
    <xf numFmtId="165" fontId="35" fillId="7" borderId="3" xfId="0" applyNumberFormat="1" applyFont="1" applyFill="1" applyBorder="1" applyAlignment="1">
      <alignment horizontal="right" vertical="center"/>
    </xf>
    <xf numFmtId="165" fontId="9" fillId="7" borderId="3" xfId="0" applyNumberFormat="1" applyFont="1" applyFill="1" applyBorder="1" applyAlignment="1">
      <alignment horizontal="right" vertical="center"/>
    </xf>
    <xf numFmtId="165" fontId="30" fillId="12" borderId="3" xfId="0" applyNumberFormat="1" applyFont="1" applyFill="1" applyBorder="1" applyAlignment="1">
      <alignment horizontal="left" vertical="center" wrapText="1"/>
    </xf>
    <xf numFmtId="166" fontId="35" fillId="7" borderId="3" xfId="0" applyNumberFormat="1" applyFont="1" applyFill="1" applyBorder="1" applyAlignment="1">
      <alignment horizontal="right" vertical="center"/>
    </xf>
    <xf numFmtId="166" fontId="9" fillId="7" borderId="3" xfId="0" applyNumberFormat="1" applyFont="1" applyFill="1" applyBorder="1" applyAlignment="1">
      <alignment horizontal="right" vertical="center"/>
    </xf>
    <xf numFmtId="166" fontId="10" fillId="8" borderId="3" xfId="0" applyNumberFormat="1" applyFont="1" applyFill="1" applyBorder="1" applyAlignment="1">
      <alignment horizontal="right" vertical="center"/>
    </xf>
    <xf numFmtId="0" fontId="11" fillId="9" borderId="3" xfId="0" applyFont="1" applyFill="1" applyBorder="1" applyAlignment="1">
      <alignment horizontal="left" vertical="center" wrapText="1"/>
    </xf>
    <xf numFmtId="166" fontId="36" fillId="9" borderId="3" xfId="0" applyNumberFormat="1" applyFont="1" applyFill="1" applyBorder="1" applyAlignment="1">
      <alignment horizontal="right" vertical="center"/>
    </xf>
    <xf numFmtId="166" fontId="11" fillId="7" borderId="3" xfId="0" applyNumberFormat="1" applyFont="1" applyFill="1" applyBorder="1" applyAlignment="1">
      <alignment horizontal="right" vertical="center"/>
    </xf>
    <xf numFmtId="0" fontId="17" fillId="9" borderId="3" xfId="0" applyFont="1" applyFill="1" applyBorder="1" applyAlignment="1">
      <alignment horizontal="left" vertical="center" wrapText="1"/>
    </xf>
    <xf numFmtId="165" fontId="18" fillId="9" borderId="3" xfId="0" applyNumberFormat="1" applyFont="1" applyFill="1" applyBorder="1" applyAlignment="1">
      <alignment horizontal="right" vertical="center"/>
    </xf>
    <xf numFmtId="165" fontId="11" fillId="9" borderId="3" xfId="0" applyNumberFormat="1" applyFont="1" applyFill="1" applyBorder="1" applyAlignment="1">
      <alignment horizontal="right" vertical="center"/>
    </xf>
    <xf numFmtId="0" fontId="10" fillId="22" borderId="3" xfId="0" applyFont="1" applyFill="1" applyBorder="1" applyAlignment="1">
      <alignment horizontal="left" vertical="center" wrapText="1"/>
    </xf>
    <xf numFmtId="165" fontId="33" fillId="22" borderId="3" xfId="0" applyNumberFormat="1" applyFont="1" applyFill="1" applyBorder="1" applyAlignment="1">
      <alignment horizontal="right" vertical="center"/>
    </xf>
    <xf numFmtId="165" fontId="10" fillId="22" borderId="3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left" vertical="center" wrapText="1"/>
    </xf>
    <xf numFmtId="165" fontId="33" fillId="0" borderId="0" xfId="0" applyNumberFormat="1" applyFont="1" applyAlignment="1">
      <alignment horizontal="right" vertical="center"/>
    </xf>
    <xf numFmtId="165" fontId="10" fillId="0" borderId="0" xfId="0" applyNumberFormat="1" applyFont="1" applyAlignment="1">
      <alignment horizontal="right" vertical="center"/>
    </xf>
    <xf numFmtId="0" fontId="26" fillId="4" borderId="3" xfId="0" applyFont="1" applyFill="1" applyBorder="1" applyAlignment="1">
      <alignment horizontal="center" vertical="center" wrapText="1"/>
    </xf>
    <xf numFmtId="0" fontId="38" fillId="4" borderId="3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165" fontId="40" fillId="8" borderId="3" xfId="0" applyNumberFormat="1" applyFont="1" applyFill="1" applyBorder="1" applyAlignment="1">
      <alignment horizontal="right" vertical="center"/>
    </xf>
    <xf numFmtId="165" fontId="41" fillId="6" borderId="3" xfId="0" applyNumberFormat="1" applyFont="1" applyFill="1" applyBorder="1" applyAlignment="1">
      <alignment horizontal="right" vertical="center"/>
    </xf>
    <xf numFmtId="0" fontId="42" fillId="23" borderId="3" xfId="0" applyFont="1" applyFill="1" applyBorder="1" applyAlignment="1">
      <alignment horizontal="left" vertical="center" wrapText="1"/>
    </xf>
    <xf numFmtId="166" fontId="40" fillId="8" borderId="3" xfId="0" applyNumberFormat="1" applyFont="1" applyFill="1" applyBorder="1" applyAlignment="1">
      <alignment horizontal="right" vertical="center"/>
    </xf>
    <xf numFmtId="166" fontId="41" fillId="6" borderId="3" xfId="0" applyNumberFormat="1" applyFont="1" applyFill="1" applyBorder="1" applyAlignment="1">
      <alignment horizontal="right" vertical="center"/>
    </xf>
    <xf numFmtId="0" fontId="17" fillId="7" borderId="3" xfId="0" applyFont="1" applyFill="1" applyBorder="1" applyAlignment="1">
      <alignment horizontal="left" vertical="center" wrapText="1"/>
    </xf>
    <xf numFmtId="165" fontId="40" fillId="7" borderId="3" xfId="0" applyNumberFormat="1" applyFont="1" applyFill="1" applyBorder="1" applyAlignment="1">
      <alignment horizontal="right" vertical="center"/>
    </xf>
    <xf numFmtId="166" fontId="40" fillId="7" borderId="3" xfId="0" applyNumberFormat="1" applyFont="1" applyFill="1" applyBorder="1" applyAlignment="1">
      <alignment horizontal="right" vertical="center"/>
    </xf>
    <xf numFmtId="166" fontId="40" fillId="9" borderId="3" xfId="0" applyNumberFormat="1" applyFont="1" applyFill="1" applyBorder="1" applyAlignment="1">
      <alignment horizontal="right" vertical="center"/>
    </xf>
    <xf numFmtId="165" fontId="40" fillId="6" borderId="3" xfId="0" applyNumberFormat="1" applyFont="1" applyFill="1" applyBorder="1" applyAlignment="1">
      <alignment horizontal="right" vertical="center"/>
    </xf>
    <xf numFmtId="0" fontId="17" fillId="24" borderId="3" xfId="0" applyFont="1" applyFill="1" applyBorder="1" applyAlignment="1">
      <alignment horizontal="left" vertical="center" wrapText="1"/>
    </xf>
    <xf numFmtId="167" fontId="43" fillId="24" borderId="3" xfId="0" applyNumberFormat="1" applyFont="1" applyFill="1" applyBorder="1" applyAlignment="1">
      <alignment horizontal="right" vertical="center"/>
    </xf>
    <xf numFmtId="167" fontId="41" fillId="6" borderId="3" xfId="0" applyNumberFormat="1" applyFont="1" applyFill="1" applyBorder="1" applyAlignment="1">
      <alignment horizontal="right" vertical="center"/>
    </xf>
    <xf numFmtId="167" fontId="10" fillId="8" borderId="3" xfId="0" applyNumberFormat="1" applyFont="1" applyFill="1" applyBorder="1" applyAlignment="1">
      <alignment horizontal="right" vertical="center"/>
    </xf>
    <xf numFmtId="0" fontId="44" fillId="24" borderId="3" xfId="0" applyFont="1" applyFill="1" applyBorder="1" applyAlignment="1">
      <alignment horizontal="left" vertical="center" wrapText="1"/>
    </xf>
    <xf numFmtId="165" fontId="43" fillId="6" borderId="3" xfId="0" applyNumberFormat="1" applyFont="1" applyFill="1" applyBorder="1" applyAlignment="1">
      <alignment horizontal="right" vertical="center"/>
    </xf>
    <xf numFmtId="168" fontId="43" fillId="7" borderId="3" xfId="0" applyNumberFormat="1" applyFont="1" applyFill="1" applyBorder="1" applyAlignment="1">
      <alignment horizontal="right" vertical="center"/>
    </xf>
    <xf numFmtId="168" fontId="41" fillId="6" borderId="3" xfId="0" applyNumberFormat="1" applyFont="1" applyFill="1" applyBorder="1" applyAlignment="1">
      <alignment horizontal="right" vertical="center"/>
    </xf>
    <xf numFmtId="168" fontId="10" fillId="8" borderId="3" xfId="0" applyNumberFormat="1" applyFont="1" applyFill="1" applyBorder="1" applyAlignment="1">
      <alignment horizontal="right" vertical="center"/>
    </xf>
    <xf numFmtId="168" fontId="43" fillId="9" borderId="3" xfId="0" applyNumberFormat="1" applyFont="1" applyFill="1" applyBorder="1" applyAlignment="1">
      <alignment horizontal="right" vertical="center"/>
    </xf>
    <xf numFmtId="168" fontId="43" fillId="8" borderId="3" xfId="0" applyNumberFormat="1" applyFont="1" applyFill="1" applyBorder="1" applyAlignment="1">
      <alignment horizontal="right" vertical="center"/>
    </xf>
    <xf numFmtId="168" fontId="43" fillId="24" borderId="3" xfId="0" applyNumberFormat="1" applyFont="1" applyFill="1" applyBorder="1" applyAlignment="1">
      <alignment horizontal="right" vertical="center"/>
    </xf>
    <xf numFmtId="169" fontId="43" fillId="6" borderId="3" xfId="0" applyNumberFormat="1" applyFont="1" applyFill="1" applyBorder="1" applyAlignment="1">
      <alignment horizontal="right" vertical="center"/>
    </xf>
    <xf numFmtId="169" fontId="41" fillId="6" borderId="3" xfId="0" applyNumberFormat="1" applyFont="1" applyFill="1" applyBorder="1" applyAlignment="1">
      <alignment horizontal="right" vertical="center"/>
    </xf>
    <xf numFmtId="169" fontId="10" fillId="8" borderId="3" xfId="0" applyNumberFormat="1" applyFont="1" applyFill="1" applyBorder="1" applyAlignment="1">
      <alignment horizontal="right" vertical="center"/>
    </xf>
    <xf numFmtId="0" fontId="17" fillId="10" borderId="3" xfId="0" applyFont="1" applyFill="1" applyBorder="1" applyAlignment="1">
      <alignment horizontal="left" vertical="center" wrapText="1"/>
    </xf>
    <xf numFmtId="166" fontId="43" fillId="10" borderId="3" xfId="0" applyNumberFormat="1" applyFont="1" applyFill="1" applyBorder="1" applyAlignment="1">
      <alignment horizontal="right" vertical="center"/>
    </xf>
    <xf numFmtId="166" fontId="43" fillId="24" borderId="3" xfId="0" applyNumberFormat="1" applyFont="1" applyFill="1" applyBorder="1" applyAlignment="1">
      <alignment horizontal="right" vertical="center"/>
    </xf>
    <xf numFmtId="167" fontId="43" fillId="9" borderId="3" xfId="0" applyNumberFormat="1" applyFont="1" applyFill="1" applyBorder="1" applyAlignment="1">
      <alignment horizontal="right" vertical="center"/>
    </xf>
    <xf numFmtId="170" fontId="43" fillId="8" borderId="3" xfId="0" applyNumberFormat="1" applyFont="1" applyFill="1" applyBorder="1" applyAlignment="1">
      <alignment horizontal="right" vertical="center"/>
    </xf>
    <xf numFmtId="170" fontId="41" fillId="6" borderId="3" xfId="0" applyNumberFormat="1" applyFont="1" applyFill="1" applyBorder="1" applyAlignment="1">
      <alignment horizontal="right" vertical="center"/>
    </xf>
    <xf numFmtId="170" fontId="10" fillId="8" borderId="3" xfId="0" applyNumberFormat="1" applyFont="1" applyFill="1" applyBorder="1" applyAlignment="1">
      <alignment horizontal="right" vertical="center"/>
    </xf>
    <xf numFmtId="170" fontId="43" fillId="24" borderId="3" xfId="0" applyNumberFormat="1" applyFont="1" applyFill="1" applyBorder="1" applyAlignment="1">
      <alignment horizontal="right" vertical="center"/>
    </xf>
    <xf numFmtId="164" fontId="40" fillId="10" borderId="3" xfId="0" applyNumberFormat="1" applyFont="1" applyFill="1" applyBorder="1" applyAlignment="1">
      <alignment horizontal="right" vertical="center"/>
    </xf>
    <xf numFmtId="164" fontId="41" fillId="6" borderId="3" xfId="0" applyNumberFormat="1" applyFont="1" applyFill="1" applyBorder="1" applyAlignment="1">
      <alignment horizontal="right" vertical="center"/>
    </xf>
    <xf numFmtId="164" fontId="10" fillId="8" borderId="3" xfId="0" applyNumberFormat="1" applyFont="1" applyFill="1" applyBorder="1" applyAlignment="1">
      <alignment horizontal="right" vertical="center"/>
    </xf>
    <xf numFmtId="165" fontId="40" fillId="10" borderId="3" xfId="0" applyNumberFormat="1" applyFont="1" applyFill="1" applyBorder="1" applyAlignment="1">
      <alignment horizontal="right" vertical="center"/>
    </xf>
    <xf numFmtId="164" fontId="12" fillId="10" borderId="3" xfId="0" applyNumberFormat="1" applyFont="1" applyFill="1" applyBorder="1" applyAlignment="1">
      <alignment horizontal="right" vertical="center"/>
    </xf>
    <xf numFmtId="165" fontId="18" fillId="10" borderId="3" xfId="0" applyNumberFormat="1" applyFont="1" applyFill="1" applyBorder="1" applyAlignment="1">
      <alignment horizontal="right" vertical="center"/>
    </xf>
    <xf numFmtId="165" fontId="12" fillId="10" borderId="3" xfId="0" applyNumberFormat="1" applyFont="1" applyFill="1" applyBorder="1" applyAlignment="1">
      <alignment horizontal="right" vertical="center"/>
    </xf>
    <xf numFmtId="165" fontId="18" fillId="11" borderId="3" xfId="0" applyNumberFormat="1" applyFont="1" applyFill="1" applyBorder="1" applyAlignment="1">
      <alignment horizontal="right" vertical="center"/>
    </xf>
    <xf numFmtId="165" fontId="33" fillId="11" borderId="3" xfId="0" applyNumberFormat="1" applyFont="1" applyFill="1" applyBorder="1" applyAlignment="1">
      <alignment horizontal="right" vertical="center"/>
    </xf>
    <xf numFmtId="0" fontId="45" fillId="0" borderId="0" xfId="0" applyFont="1" applyAlignment="1">
      <alignment horizontal="center" vertical="center" wrapText="1"/>
    </xf>
    <xf numFmtId="0" fontId="46" fillId="13" borderId="3" xfId="0" applyFont="1" applyFill="1" applyBorder="1"/>
    <xf numFmtId="165" fontId="46" fillId="13" borderId="3" xfId="0" applyNumberFormat="1" applyFont="1" applyFill="1" applyBorder="1" applyAlignment="1">
      <alignment horizontal="right" vertical="center"/>
    </xf>
    <xf numFmtId="0" fontId="16" fillId="26" borderId="3" xfId="0" applyFont="1" applyFill="1" applyBorder="1" applyAlignment="1">
      <alignment horizontal="center" vertical="center" wrapText="1"/>
    </xf>
    <xf numFmtId="165" fontId="47" fillId="13" borderId="3" xfId="0" applyNumberFormat="1" applyFont="1" applyFill="1" applyBorder="1" applyAlignment="1">
      <alignment horizontal="center" vertical="center" wrapText="1"/>
    </xf>
    <xf numFmtId="0" fontId="16" fillId="13" borderId="3" xfId="0" applyFont="1" applyFill="1" applyBorder="1" applyAlignment="1">
      <alignment horizontal="right" vertical="center"/>
    </xf>
    <xf numFmtId="0" fontId="48" fillId="15" borderId="3" xfId="0" applyFont="1" applyFill="1" applyBorder="1" applyAlignment="1">
      <alignment horizontal="left" vertical="center" wrapText="1"/>
    </xf>
    <xf numFmtId="165" fontId="48" fillId="15" borderId="3" xfId="0" applyNumberFormat="1" applyFont="1" applyFill="1" applyBorder="1" applyAlignment="1">
      <alignment horizontal="right" vertical="center"/>
    </xf>
    <xf numFmtId="165" fontId="49" fillId="15" borderId="3" xfId="0" applyNumberFormat="1" applyFont="1" applyFill="1" applyBorder="1" applyAlignment="1">
      <alignment horizontal="right" vertical="center"/>
    </xf>
    <xf numFmtId="0" fontId="36" fillId="9" borderId="3" xfId="0" applyFont="1" applyFill="1" applyBorder="1" applyAlignment="1">
      <alignment horizontal="left" vertical="center" wrapText="1"/>
    </xf>
    <xf numFmtId="165" fontId="36" fillId="9" borderId="3" xfId="0" applyNumberFormat="1" applyFont="1" applyFill="1" applyBorder="1" applyAlignment="1">
      <alignment horizontal="right" vertical="center"/>
    </xf>
    <xf numFmtId="0" fontId="33" fillId="8" borderId="3" xfId="0" applyFont="1" applyFill="1" applyBorder="1" applyAlignment="1">
      <alignment horizontal="left" vertical="center" wrapText="1"/>
    </xf>
    <xf numFmtId="165" fontId="47" fillId="4" borderId="3" xfId="0" applyNumberFormat="1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right" vertical="center"/>
    </xf>
    <xf numFmtId="0" fontId="34" fillId="6" borderId="3" xfId="0" applyFont="1" applyFill="1" applyBorder="1" applyAlignment="1">
      <alignment horizontal="left" vertical="center" wrapText="1"/>
    </xf>
    <xf numFmtId="0" fontId="34" fillId="18" borderId="3" xfId="0" applyFont="1" applyFill="1" applyBorder="1" applyAlignment="1">
      <alignment horizontal="left" vertical="center" wrapText="1"/>
    </xf>
    <xf numFmtId="165" fontId="34" fillId="18" borderId="3" xfId="0" applyNumberFormat="1" applyFont="1" applyFill="1" applyBorder="1" applyAlignment="1">
      <alignment horizontal="right" vertical="center"/>
    </xf>
    <xf numFmtId="165" fontId="7" fillId="18" borderId="3" xfId="0" applyNumberFormat="1" applyFont="1" applyFill="1" applyBorder="1" applyAlignment="1">
      <alignment horizontal="right" vertical="center"/>
    </xf>
    <xf numFmtId="0" fontId="50" fillId="7" borderId="3" xfId="0" applyFont="1" applyFill="1" applyBorder="1" applyAlignment="1">
      <alignment horizontal="left" vertical="center" wrapText="1"/>
    </xf>
    <xf numFmtId="165" fontId="50" fillId="7" borderId="3" xfId="0" applyNumberFormat="1" applyFont="1" applyFill="1" applyBorder="1" applyAlignment="1">
      <alignment horizontal="right" vertical="center"/>
    </xf>
    <xf numFmtId="165" fontId="51" fillId="7" borderId="3" xfId="0" applyNumberFormat="1" applyFont="1" applyFill="1" applyBorder="1" applyAlignment="1">
      <alignment horizontal="right" vertical="center"/>
    </xf>
    <xf numFmtId="166" fontId="50" fillId="7" borderId="3" xfId="0" applyNumberFormat="1" applyFont="1" applyFill="1" applyBorder="1" applyAlignment="1">
      <alignment horizontal="right" vertical="center"/>
    </xf>
    <xf numFmtId="166" fontId="51" fillId="7" borderId="3" xfId="0" applyNumberFormat="1" applyFont="1" applyFill="1" applyBorder="1" applyAlignment="1">
      <alignment horizontal="right" vertical="center"/>
    </xf>
    <xf numFmtId="0" fontId="8" fillId="12" borderId="3" xfId="0" applyFont="1" applyFill="1" applyBorder="1" applyAlignment="1">
      <alignment horizontal="left" vertical="center" wrapText="1"/>
    </xf>
    <xf numFmtId="165" fontId="8" fillId="12" borderId="3" xfId="0" applyNumberFormat="1" applyFont="1" applyFill="1" applyBorder="1" applyAlignment="1">
      <alignment horizontal="right" vertical="center"/>
    </xf>
    <xf numFmtId="165" fontId="41" fillId="12" borderId="3" xfId="0" applyNumberFormat="1" applyFont="1" applyFill="1" applyBorder="1" applyAlignment="1">
      <alignment horizontal="right" vertical="center"/>
    </xf>
    <xf numFmtId="166" fontId="8" fillId="12" borderId="3" xfId="0" applyNumberFormat="1" applyFont="1" applyFill="1" applyBorder="1" applyAlignment="1">
      <alignment horizontal="right" vertical="center"/>
    </xf>
    <xf numFmtId="166" fontId="41" fillId="12" borderId="3" xfId="0" applyNumberFormat="1" applyFont="1" applyFill="1" applyBorder="1" applyAlignment="1">
      <alignment horizontal="right" vertical="center"/>
    </xf>
    <xf numFmtId="165" fontId="52" fillId="6" borderId="3" xfId="0" applyNumberFormat="1" applyFont="1" applyFill="1" applyBorder="1" applyAlignment="1">
      <alignment horizontal="right" vertical="center"/>
    </xf>
    <xf numFmtId="165" fontId="53" fillId="6" borderId="3" xfId="0" applyNumberFormat="1" applyFont="1" applyFill="1" applyBorder="1" applyAlignment="1">
      <alignment horizontal="right" vertical="center"/>
    </xf>
    <xf numFmtId="165" fontId="52" fillId="8" borderId="3" xfId="0" applyNumberFormat="1" applyFont="1" applyFill="1" applyBorder="1" applyAlignment="1">
      <alignment horizontal="right" vertical="center"/>
    </xf>
    <xf numFmtId="166" fontId="33" fillId="7" borderId="3" xfId="0" applyNumberFormat="1" applyFont="1" applyFill="1" applyBorder="1" applyAlignment="1">
      <alignment horizontal="right" vertical="center"/>
    </xf>
    <xf numFmtId="166" fontId="10" fillId="6" borderId="3" xfId="0" applyNumberFormat="1" applyFont="1" applyFill="1" applyBorder="1" applyAlignment="1">
      <alignment horizontal="right" vertical="center"/>
    </xf>
    <xf numFmtId="166" fontId="11" fillId="6" borderId="3" xfId="0" applyNumberFormat="1" applyFont="1" applyFill="1" applyBorder="1" applyAlignment="1">
      <alignment horizontal="right" vertical="center"/>
    </xf>
    <xf numFmtId="0" fontId="31" fillId="16" borderId="3" xfId="0" applyFont="1" applyFill="1" applyBorder="1" applyAlignment="1">
      <alignment horizontal="left" vertical="center" wrapText="1"/>
    </xf>
    <xf numFmtId="165" fontId="47" fillId="16" borderId="3" xfId="0" applyNumberFormat="1" applyFont="1" applyFill="1" applyBorder="1" applyAlignment="1">
      <alignment horizontal="center" vertical="center" wrapText="1"/>
    </xf>
    <xf numFmtId="0" fontId="16" fillId="16" borderId="3" xfId="0" applyFont="1" applyFill="1" applyBorder="1" applyAlignment="1">
      <alignment horizontal="right" vertical="center"/>
    </xf>
    <xf numFmtId="0" fontId="54" fillId="9" borderId="3" xfId="0" applyFont="1" applyFill="1" applyBorder="1" applyAlignment="1">
      <alignment horizontal="left" vertical="center" wrapText="1"/>
    </xf>
    <xf numFmtId="0" fontId="41" fillId="12" borderId="3" xfId="0" applyFont="1" applyFill="1" applyBorder="1" applyAlignment="1">
      <alignment horizontal="right" vertical="center"/>
    </xf>
    <xf numFmtId="0" fontId="51" fillId="7" borderId="3" xfId="0" applyFont="1" applyFill="1" applyBorder="1" applyAlignment="1">
      <alignment horizontal="right" vertical="center"/>
    </xf>
    <xf numFmtId="0" fontId="12" fillId="11" borderId="3" xfId="0" applyFont="1" applyFill="1" applyBorder="1" applyAlignment="1">
      <alignment horizontal="left" vertical="center" wrapText="1"/>
    </xf>
    <xf numFmtId="164" fontId="55" fillId="11" borderId="3" xfId="0" applyNumberFormat="1" applyFont="1" applyFill="1" applyBorder="1" applyAlignment="1">
      <alignment horizontal="right" vertical="center"/>
    </xf>
    <xf numFmtId="164" fontId="12" fillId="29" borderId="3" xfId="0" applyNumberFormat="1" applyFont="1" applyFill="1" applyBorder="1" applyAlignment="1">
      <alignment horizontal="right" vertical="center"/>
    </xf>
    <xf numFmtId="0" fontId="12" fillId="10" borderId="3" xfId="0" applyFont="1" applyFill="1" applyBorder="1" applyAlignment="1">
      <alignment horizontal="left" vertical="center" wrapText="1"/>
    </xf>
    <xf numFmtId="164" fontId="55" fillId="10" borderId="3" xfId="0" applyNumberFormat="1" applyFont="1" applyFill="1" applyBorder="1" applyAlignment="1">
      <alignment horizontal="right" vertical="center"/>
    </xf>
    <xf numFmtId="166" fontId="55" fillId="10" borderId="3" xfId="0" applyNumberFormat="1" applyFont="1" applyFill="1" applyBorder="1" applyAlignment="1">
      <alignment horizontal="right" vertical="center"/>
    </xf>
    <xf numFmtId="166" fontId="12" fillId="29" borderId="3" xfId="0" applyNumberFormat="1" applyFont="1" applyFill="1" applyBorder="1" applyAlignment="1">
      <alignment horizontal="right" vertical="center"/>
    </xf>
    <xf numFmtId="165" fontId="55" fillId="10" borderId="3" xfId="0" applyNumberFormat="1" applyFont="1" applyFill="1" applyBorder="1" applyAlignment="1">
      <alignment horizontal="right" vertical="center"/>
    </xf>
    <xf numFmtId="165" fontId="55" fillId="11" borderId="3" xfId="0" applyNumberFormat="1" applyFont="1" applyFill="1" applyBorder="1" applyAlignment="1">
      <alignment horizontal="right" vertical="center"/>
    </xf>
    <xf numFmtId="0" fontId="1" fillId="11" borderId="0" xfId="0" applyFont="1" applyFill="1"/>
    <xf numFmtId="165" fontId="56" fillId="8" borderId="3" xfId="0" applyNumberFormat="1" applyFont="1" applyFill="1" applyBorder="1" applyAlignment="1">
      <alignment horizontal="right" vertical="center"/>
    </xf>
    <xf numFmtId="166" fontId="32" fillId="8" borderId="3" xfId="0" applyNumberFormat="1" applyFont="1" applyFill="1" applyBorder="1" applyAlignment="1">
      <alignment horizontal="center" vertical="center" wrapText="1"/>
    </xf>
    <xf numFmtId="0" fontId="57" fillId="8" borderId="3" xfId="0" applyFont="1" applyFill="1" applyBorder="1" applyAlignment="1">
      <alignment horizontal="center" vertical="center" wrapText="1"/>
    </xf>
    <xf numFmtId="166" fontId="52" fillId="8" borderId="3" xfId="0" applyNumberFormat="1" applyFont="1" applyFill="1" applyBorder="1" applyAlignment="1">
      <alignment horizontal="right" vertical="center"/>
    </xf>
    <xf numFmtId="166" fontId="56" fillId="8" borderId="3" xfId="0" applyNumberFormat="1" applyFont="1" applyFill="1" applyBorder="1" applyAlignment="1">
      <alignment horizontal="right" vertical="center"/>
    </xf>
    <xf numFmtId="165" fontId="52" fillId="7" borderId="3" xfId="0" applyNumberFormat="1" applyFont="1" applyFill="1" applyBorder="1" applyAlignment="1">
      <alignment horizontal="right" vertical="center"/>
    </xf>
    <xf numFmtId="165" fontId="56" fillId="7" borderId="3" xfId="0" applyNumberFormat="1" applyFont="1" applyFill="1" applyBorder="1" applyAlignment="1">
      <alignment horizontal="right" vertical="center"/>
    </xf>
    <xf numFmtId="166" fontId="32" fillId="7" borderId="3" xfId="0" applyNumberFormat="1" applyFont="1" applyFill="1" applyBorder="1" applyAlignment="1">
      <alignment horizontal="center" vertical="center" wrapText="1"/>
    </xf>
    <xf numFmtId="0" fontId="57" fillId="7" borderId="3" xfId="0" applyFont="1" applyFill="1" applyBorder="1" applyAlignment="1">
      <alignment horizontal="center" vertical="center" wrapText="1"/>
    </xf>
    <xf numFmtId="166" fontId="52" fillId="7" borderId="3" xfId="0" applyNumberFormat="1" applyFont="1" applyFill="1" applyBorder="1" applyAlignment="1">
      <alignment horizontal="right" vertical="center"/>
    </xf>
    <xf numFmtId="166" fontId="56" fillId="7" borderId="3" xfId="0" applyNumberFormat="1" applyFont="1" applyFill="1" applyBorder="1" applyAlignment="1">
      <alignment horizontal="right" vertical="center"/>
    </xf>
    <xf numFmtId="166" fontId="52" fillId="9" borderId="3" xfId="0" applyNumberFormat="1" applyFont="1" applyFill="1" applyBorder="1" applyAlignment="1">
      <alignment horizontal="right" vertical="center"/>
    </xf>
    <xf numFmtId="166" fontId="56" fillId="9" borderId="3" xfId="0" applyNumberFormat="1" applyFont="1" applyFill="1" applyBorder="1" applyAlignment="1">
      <alignment horizontal="right" vertical="center"/>
    </xf>
    <xf numFmtId="166" fontId="32" fillId="9" borderId="3" xfId="0" applyNumberFormat="1" applyFont="1" applyFill="1" applyBorder="1" applyAlignment="1">
      <alignment horizontal="center" vertical="center" wrapText="1"/>
    </xf>
    <xf numFmtId="0" fontId="57" fillId="9" borderId="3" xfId="0" applyFont="1" applyFill="1" applyBorder="1" applyAlignment="1">
      <alignment horizontal="center" vertical="center" wrapText="1"/>
    </xf>
    <xf numFmtId="165" fontId="56" fillId="6" borderId="3" xfId="0" applyNumberFormat="1" applyFont="1" applyFill="1" applyBorder="1" applyAlignment="1">
      <alignment horizontal="right" vertical="center"/>
    </xf>
    <xf numFmtId="166" fontId="32" fillId="6" borderId="3" xfId="0" applyNumberFormat="1" applyFont="1" applyFill="1" applyBorder="1" applyAlignment="1">
      <alignment horizontal="center" vertical="center" wrapText="1"/>
    </xf>
    <xf numFmtId="0" fontId="57" fillId="6" borderId="3" xfId="0" applyFont="1" applyFill="1" applyBorder="1" applyAlignment="1">
      <alignment horizontal="center" vertical="center" wrapText="1"/>
    </xf>
    <xf numFmtId="171" fontId="52" fillId="24" borderId="3" xfId="0" applyNumberFormat="1" applyFont="1" applyFill="1" applyBorder="1" applyAlignment="1">
      <alignment horizontal="right" vertical="center"/>
    </xf>
    <xf numFmtId="171" fontId="56" fillId="24" borderId="3" xfId="0" applyNumberFormat="1" applyFont="1" applyFill="1" applyBorder="1" applyAlignment="1">
      <alignment horizontal="right" vertical="center"/>
    </xf>
    <xf numFmtId="166" fontId="32" fillId="24" borderId="3" xfId="0" applyNumberFormat="1" applyFont="1" applyFill="1" applyBorder="1" applyAlignment="1">
      <alignment horizontal="center" vertical="center" wrapText="1"/>
    </xf>
    <xf numFmtId="0" fontId="57" fillId="24" borderId="3" xfId="0" applyFont="1" applyFill="1" applyBorder="1" applyAlignment="1">
      <alignment horizontal="center" vertical="center" wrapText="1"/>
    </xf>
    <xf numFmtId="168" fontId="52" fillId="7" borderId="3" xfId="0" applyNumberFormat="1" applyFont="1" applyFill="1" applyBorder="1" applyAlignment="1">
      <alignment horizontal="right" vertical="center"/>
    </xf>
    <xf numFmtId="168" fontId="56" fillId="7" borderId="3" xfId="0" applyNumberFormat="1" applyFont="1" applyFill="1" applyBorder="1" applyAlignment="1">
      <alignment horizontal="right" vertical="center"/>
    </xf>
    <xf numFmtId="168" fontId="52" fillId="9" borderId="3" xfId="0" applyNumberFormat="1" applyFont="1" applyFill="1" applyBorder="1" applyAlignment="1">
      <alignment horizontal="right" vertical="center"/>
    </xf>
    <xf numFmtId="168" fontId="56" fillId="9" borderId="3" xfId="0" applyNumberFormat="1" applyFont="1" applyFill="1" applyBorder="1" applyAlignment="1">
      <alignment horizontal="right" vertical="center"/>
    </xf>
    <xf numFmtId="168" fontId="52" fillId="8" borderId="3" xfId="0" applyNumberFormat="1" applyFont="1" applyFill="1" applyBorder="1" applyAlignment="1">
      <alignment horizontal="right" vertical="center"/>
    </xf>
    <xf numFmtId="168" fontId="56" fillId="8" borderId="3" xfId="0" applyNumberFormat="1" applyFont="1" applyFill="1" applyBorder="1" applyAlignment="1">
      <alignment horizontal="right" vertical="center"/>
    </xf>
    <xf numFmtId="168" fontId="52" fillId="24" borderId="3" xfId="0" applyNumberFormat="1" applyFont="1" applyFill="1" applyBorder="1" applyAlignment="1">
      <alignment horizontal="right" vertical="center"/>
    </xf>
    <xf numFmtId="168" fontId="56" fillId="24" borderId="3" xfId="0" applyNumberFormat="1" applyFont="1" applyFill="1" applyBorder="1" applyAlignment="1">
      <alignment horizontal="right" vertical="center"/>
    </xf>
    <xf numFmtId="169" fontId="52" fillId="6" borderId="3" xfId="0" applyNumberFormat="1" applyFont="1" applyFill="1" applyBorder="1" applyAlignment="1">
      <alignment horizontal="right" vertical="center"/>
    </xf>
    <xf numFmtId="169" fontId="56" fillId="6" borderId="3" xfId="0" applyNumberFormat="1" applyFont="1" applyFill="1" applyBorder="1" applyAlignment="1">
      <alignment horizontal="right" vertical="center"/>
    </xf>
    <xf numFmtId="166" fontId="52" fillId="10" borderId="3" xfId="0" applyNumberFormat="1" applyFont="1" applyFill="1" applyBorder="1" applyAlignment="1">
      <alignment horizontal="right" vertical="center"/>
    </xf>
    <xf numFmtId="166" fontId="56" fillId="10" borderId="3" xfId="0" applyNumberFormat="1" applyFont="1" applyFill="1" applyBorder="1" applyAlignment="1">
      <alignment horizontal="right" vertical="center"/>
    </xf>
    <xf numFmtId="166" fontId="32" fillId="10" borderId="3" xfId="0" applyNumberFormat="1" applyFont="1" applyFill="1" applyBorder="1" applyAlignment="1">
      <alignment horizontal="center" vertical="center" wrapText="1"/>
    </xf>
    <xf numFmtId="0" fontId="57" fillId="10" borderId="3" xfId="0" applyFont="1" applyFill="1" applyBorder="1" applyAlignment="1">
      <alignment horizontal="center" vertical="center" wrapText="1"/>
    </xf>
    <xf numFmtId="166" fontId="52" fillId="24" borderId="3" xfId="0" applyNumberFormat="1" applyFont="1" applyFill="1" applyBorder="1" applyAlignment="1">
      <alignment horizontal="right" vertical="center"/>
    </xf>
    <xf numFmtId="166" fontId="56" fillId="24" borderId="3" xfId="0" applyNumberFormat="1" applyFont="1" applyFill="1" applyBorder="1" applyAlignment="1">
      <alignment horizontal="right" vertical="center"/>
    </xf>
    <xf numFmtId="167" fontId="52" fillId="9" borderId="3" xfId="0" applyNumberFormat="1" applyFont="1" applyFill="1" applyBorder="1" applyAlignment="1">
      <alignment horizontal="right" vertical="center"/>
    </xf>
    <xf numFmtId="167" fontId="56" fillId="9" borderId="3" xfId="0" applyNumberFormat="1" applyFont="1" applyFill="1" applyBorder="1" applyAlignment="1">
      <alignment horizontal="right" vertical="center"/>
    </xf>
    <xf numFmtId="170" fontId="52" fillId="8" borderId="3" xfId="0" applyNumberFormat="1" applyFont="1" applyFill="1" applyBorder="1" applyAlignment="1">
      <alignment horizontal="right" vertical="center"/>
    </xf>
    <xf numFmtId="170" fontId="56" fillId="8" borderId="3" xfId="0" applyNumberFormat="1" applyFont="1" applyFill="1" applyBorder="1" applyAlignment="1">
      <alignment horizontal="right" vertical="center"/>
    </xf>
    <xf numFmtId="170" fontId="52" fillId="24" borderId="3" xfId="0" applyNumberFormat="1" applyFont="1" applyFill="1" applyBorder="1" applyAlignment="1">
      <alignment horizontal="right" vertical="center"/>
    </xf>
    <xf numFmtId="170" fontId="56" fillId="24" borderId="3" xfId="0" applyNumberFormat="1" applyFont="1" applyFill="1" applyBorder="1" applyAlignment="1">
      <alignment horizontal="right" vertical="center"/>
    </xf>
    <xf numFmtId="164" fontId="52" fillId="10" borderId="3" xfId="0" applyNumberFormat="1" applyFont="1" applyFill="1" applyBorder="1" applyAlignment="1">
      <alignment horizontal="right" vertical="center"/>
    </xf>
    <xf numFmtId="164" fontId="56" fillId="10" borderId="3" xfId="0" applyNumberFormat="1" applyFont="1" applyFill="1" applyBorder="1" applyAlignment="1">
      <alignment horizontal="right" vertical="center"/>
    </xf>
    <xf numFmtId="165" fontId="52" fillId="10" borderId="3" xfId="0" applyNumberFormat="1" applyFont="1" applyFill="1" applyBorder="1" applyAlignment="1">
      <alignment horizontal="right" vertical="center"/>
    </xf>
    <xf numFmtId="165" fontId="56" fillId="10" borderId="3" xfId="0" applyNumberFormat="1" applyFont="1" applyFill="1" applyBorder="1" applyAlignment="1">
      <alignment horizontal="right" vertical="center"/>
    </xf>
    <xf numFmtId="0" fontId="17" fillId="11" borderId="3" xfId="0" applyFont="1" applyFill="1" applyBorder="1"/>
    <xf numFmtId="172" fontId="19" fillId="11" borderId="3" xfId="0" applyNumberFormat="1" applyFont="1" applyFill="1" applyBorder="1" applyAlignment="1">
      <alignment horizontal="right" vertical="center"/>
    </xf>
    <xf numFmtId="172" fontId="18" fillId="11" borderId="3" xfId="0" applyNumberFormat="1" applyFont="1" applyFill="1" applyBorder="1" applyAlignment="1">
      <alignment horizontal="right" vertical="center"/>
    </xf>
    <xf numFmtId="166" fontId="45" fillId="11" borderId="3" xfId="0" applyNumberFormat="1" applyFont="1" applyFill="1" applyBorder="1" applyAlignment="1">
      <alignment horizontal="center" vertical="center" wrapText="1"/>
    </xf>
    <xf numFmtId="0" fontId="20" fillId="11" borderId="3" xfId="0" applyFont="1" applyFill="1" applyBorder="1" applyAlignment="1">
      <alignment horizontal="center" vertical="center" wrapText="1"/>
    </xf>
    <xf numFmtId="0" fontId="30" fillId="11" borderId="3" xfId="0" applyFont="1" applyFill="1" applyBorder="1" applyAlignment="1">
      <alignment horizontal="left" vertical="center" wrapText="1"/>
    </xf>
    <xf numFmtId="173" fontId="19" fillId="11" borderId="3" xfId="0" applyNumberFormat="1" applyFont="1" applyFill="1" applyBorder="1" applyAlignment="1">
      <alignment horizontal="right" vertical="center"/>
    </xf>
    <xf numFmtId="173" fontId="18" fillId="11" borderId="3" xfId="0" applyNumberFormat="1" applyFont="1" applyFill="1" applyBorder="1" applyAlignment="1">
      <alignment horizontal="right" vertical="center"/>
    </xf>
    <xf numFmtId="0" fontId="31" fillId="11" borderId="6" xfId="0" applyFont="1" applyFill="1" applyBorder="1" applyAlignment="1">
      <alignment horizontal="left" vertical="center" wrapText="1"/>
    </xf>
    <xf numFmtId="174" fontId="19" fillId="11" borderId="3" xfId="0" applyNumberFormat="1" applyFont="1" applyFill="1" applyBorder="1" applyAlignment="1">
      <alignment horizontal="right" vertical="center"/>
    </xf>
    <xf numFmtId="174" fontId="18" fillId="11" borderId="3" xfId="0" applyNumberFormat="1" applyFont="1" applyFill="1" applyBorder="1" applyAlignment="1">
      <alignment horizontal="right" vertical="center"/>
    </xf>
    <xf numFmtId="0" fontId="76" fillId="8" borderId="3" xfId="0" applyFont="1" applyFill="1" applyBorder="1"/>
    <xf numFmtId="165" fontId="77" fillId="8" borderId="3" xfId="0" applyNumberFormat="1" applyFont="1" applyFill="1" applyBorder="1" applyAlignment="1">
      <alignment horizontal="right" vertical="center"/>
    </xf>
    <xf numFmtId="165" fontId="76" fillId="6" borderId="3" xfId="0" applyNumberFormat="1" applyFont="1" applyFill="1" applyBorder="1" applyAlignment="1">
      <alignment horizontal="right" vertical="center"/>
    </xf>
    <xf numFmtId="0" fontId="76" fillId="6" borderId="3" xfId="0" applyFont="1" applyFill="1" applyBorder="1"/>
    <xf numFmtId="165" fontId="77" fillId="6" borderId="3" xfId="0" applyNumberFormat="1" applyFont="1" applyFill="1" applyBorder="1" applyAlignment="1">
      <alignment horizontal="right" vertical="center"/>
    </xf>
    <xf numFmtId="0" fontId="49" fillId="8" borderId="3" xfId="0" applyFont="1" applyFill="1" applyBorder="1"/>
    <xf numFmtId="165" fontId="48" fillId="8" borderId="3" xfId="0" applyNumberFormat="1" applyFont="1" applyFill="1" applyBorder="1" applyAlignment="1">
      <alignment horizontal="right" vertical="center"/>
    </xf>
    <xf numFmtId="165" fontId="49" fillId="7" borderId="3" xfId="0" applyNumberFormat="1" applyFont="1" applyFill="1" applyBorder="1" applyAlignment="1">
      <alignment horizontal="right" vertical="center"/>
    </xf>
    <xf numFmtId="165" fontId="76" fillId="7" borderId="3" xfId="0" applyNumberFormat="1" applyFont="1" applyFill="1" applyBorder="1" applyAlignment="1">
      <alignment horizontal="right" vertical="center"/>
    </xf>
    <xf numFmtId="0" fontId="51" fillId="7" borderId="3" xfId="0" applyFont="1" applyFill="1" applyBorder="1"/>
    <xf numFmtId="180" fontId="50" fillId="7" borderId="3" xfId="0" applyNumberFormat="1" applyFont="1" applyFill="1" applyBorder="1" applyAlignment="1">
      <alignment horizontal="right" vertical="center"/>
    </xf>
    <xf numFmtId="180" fontId="51" fillId="7" borderId="3" xfId="0" applyNumberFormat="1" applyFont="1" applyFill="1" applyBorder="1" applyAlignment="1">
      <alignment horizontal="right" vertical="center"/>
    </xf>
    <xf numFmtId="174" fontId="48" fillId="8" borderId="3" xfId="0" applyNumberFormat="1" applyFont="1" applyFill="1" applyBorder="1" applyAlignment="1">
      <alignment horizontal="right" vertical="center"/>
    </xf>
    <xf numFmtId="174" fontId="49" fillId="7" borderId="3" xfId="0" applyNumberFormat="1" applyFont="1" applyFill="1" applyBorder="1" applyAlignment="1">
      <alignment horizontal="right" vertical="center"/>
    </xf>
    <xf numFmtId="0" fontId="11" fillId="7" borderId="3" xfId="0" applyFont="1" applyFill="1" applyBorder="1"/>
    <xf numFmtId="179" fontId="36" fillId="7" borderId="3" xfId="0" applyNumberFormat="1" applyFont="1" applyFill="1" applyBorder="1" applyAlignment="1">
      <alignment horizontal="right" vertical="center"/>
    </xf>
    <xf numFmtId="179" fontId="11" fillId="7" borderId="3" xfId="0" applyNumberFormat="1" applyFont="1" applyFill="1" applyBorder="1" applyAlignment="1">
      <alignment horizontal="right" vertical="center"/>
    </xf>
    <xf numFmtId="0" fontId="11" fillId="9" borderId="3" xfId="0" applyFont="1" applyFill="1" applyBorder="1"/>
    <xf numFmtId="179" fontId="36" fillId="9" borderId="3" xfId="0" applyNumberFormat="1" applyFont="1" applyFill="1" applyBorder="1" applyAlignment="1">
      <alignment horizontal="right" vertical="center"/>
    </xf>
    <xf numFmtId="0" fontId="10" fillId="8" borderId="3" xfId="0" applyFont="1" applyFill="1" applyBorder="1"/>
    <xf numFmtId="179" fontId="33" fillId="8" borderId="3" xfId="0" applyNumberFormat="1" applyFont="1" applyFill="1" applyBorder="1" applyAlignment="1">
      <alignment horizontal="right" vertical="center"/>
    </xf>
    <xf numFmtId="179" fontId="10" fillId="7" borderId="3" xfId="0" applyNumberFormat="1" applyFont="1" applyFill="1" applyBorder="1" applyAlignment="1">
      <alignment horizontal="right" vertical="center"/>
    </xf>
    <xf numFmtId="0" fontId="80" fillId="24" borderId="3" xfId="0" applyFont="1" applyFill="1" applyBorder="1"/>
    <xf numFmtId="179" fontId="81" fillId="24" borderId="3" xfId="0" applyNumberFormat="1" applyFont="1" applyFill="1" applyBorder="1" applyAlignment="1">
      <alignment horizontal="right" vertical="center"/>
    </xf>
    <xf numFmtId="179" fontId="80" fillId="7" borderId="3" xfId="0" applyNumberFormat="1" applyFont="1" applyFill="1" applyBorder="1" applyAlignment="1">
      <alignment horizontal="right" vertical="center"/>
    </xf>
    <xf numFmtId="0" fontId="7" fillId="6" borderId="3" xfId="0" applyFont="1" applyFill="1" applyBorder="1"/>
    <xf numFmtId="173" fontId="34" fillId="6" borderId="3" xfId="0" applyNumberFormat="1" applyFont="1" applyFill="1" applyBorder="1" applyAlignment="1">
      <alignment horizontal="right" vertical="center"/>
    </xf>
    <xf numFmtId="173" fontId="7" fillId="7" borderId="3" xfId="0" applyNumberFormat="1" applyFont="1" applyFill="1" applyBorder="1" applyAlignment="1">
      <alignment horizontal="right" vertical="center"/>
    </xf>
    <xf numFmtId="173" fontId="33" fillId="8" borderId="3" xfId="0" applyNumberFormat="1" applyFont="1" applyFill="1" applyBorder="1" applyAlignment="1">
      <alignment horizontal="right" vertical="center"/>
    </xf>
    <xf numFmtId="173" fontId="10" fillId="7" borderId="3" xfId="0" applyNumberFormat="1" applyFont="1" applyFill="1" applyBorder="1" applyAlignment="1">
      <alignment horizontal="right" vertical="center"/>
    </xf>
    <xf numFmtId="3" fontId="55" fillId="10" borderId="3" xfId="0" applyNumberFormat="1" applyFont="1" applyFill="1" applyBorder="1" applyAlignment="1">
      <alignment horizontal="right" vertical="center"/>
    </xf>
    <xf numFmtId="3" fontId="12" fillId="10" borderId="3" xfId="0" applyNumberFormat="1" applyFont="1" applyFill="1" applyBorder="1" applyAlignment="1">
      <alignment horizontal="right" vertical="center"/>
    </xf>
    <xf numFmtId="174" fontId="55" fillId="10" borderId="3" xfId="0" applyNumberFormat="1" applyFont="1" applyFill="1" applyBorder="1" applyAlignment="1">
      <alignment horizontal="right" vertical="center"/>
    </xf>
    <xf numFmtId="174" fontId="12" fillId="10" borderId="3" xfId="0" applyNumberFormat="1" applyFont="1" applyFill="1" applyBorder="1" applyAlignment="1">
      <alignment horizontal="right" vertical="center"/>
    </xf>
    <xf numFmtId="174" fontId="81" fillId="24" borderId="3" xfId="0" applyNumberFormat="1" applyFont="1" applyFill="1" applyBorder="1" applyAlignment="1">
      <alignment horizontal="right" vertical="center"/>
    </xf>
    <xf numFmtId="174" fontId="80" fillId="10" borderId="3" xfId="0" applyNumberFormat="1" applyFont="1" applyFill="1" applyBorder="1" applyAlignment="1">
      <alignment horizontal="right" vertical="center"/>
    </xf>
    <xf numFmtId="175" fontId="50" fillId="7" borderId="3" xfId="0" applyNumberFormat="1" applyFont="1" applyFill="1" applyBorder="1" applyAlignment="1">
      <alignment horizontal="right" vertical="center"/>
    </xf>
    <xf numFmtId="175" fontId="51" fillId="10" borderId="3" xfId="0" applyNumberFormat="1" applyFont="1" applyFill="1" applyBorder="1" applyAlignment="1">
      <alignment horizontal="right" vertical="center"/>
    </xf>
    <xf numFmtId="175" fontId="36" fillId="9" borderId="3" xfId="0" applyNumberFormat="1" applyFont="1" applyFill="1" applyBorder="1" applyAlignment="1">
      <alignment horizontal="right" vertical="center"/>
    </xf>
    <xf numFmtId="175" fontId="11" fillId="10" borderId="3" xfId="0" applyNumberFormat="1" applyFont="1" applyFill="1" applyBorder="1" applyAlignment="1">
      <alignment horizontal="right" vertical="center"/>
    </xf>
    <xf numFmtId="181" fontId="36" fillId="9" borderId="3" xfId="0" applyNumberFormat="1" applyFont="1" applyFill="1" applyBorder="1" applyAlignment="1">
      <alignment horizontal="right" vertical="center"/>
    </xf>
    <xf numFmtId="181" fontId="11" fillId="10" borderId="3" xfId="0" applyNumberFormat="1" applyFont="1" applyFill="1" applyBorder="1" applyAlignment="1">
      <alignment horizontal="right" vertical="center"/>
    </xf>
    <xf numFmtId="173" fontId="10" fillId="10" borderId="3" xfId="0" applyNumberFormat="1" applyFont="1" applyFill="1" applyBorder="1" applyAlignment="1">
      <alignment horizontal="right" vertical="center"/>
    </xf>
    <xf numFmtId="173" fontId="81" fillId="24" borderId="3" xfId="0" applyNumberFormat="1" applyFont="1" applyFill="1" applyBorder="1" applyAlignment="1">
      <alignment horizontal="right" vertical="center"/>
    </xf>
    <xf numFmtId="173" fontId="80" fillId="10" borderId="3" xfId="0" applyNumberFormat="1" applyFont="1" applyFill="1" applyBorder="1" applyAlignment="1">
      <alignment horizontal="right" vertical="center"/>
    </xf>
    <xf numFmtId="180" fontId="34" fillId="6" borderId="3" xfId="0" applyNumberFormat="1" applyFont="1" applyFill="1" applyBorder="1" applyAlignment="1">
      <alignment horizontal="right" vertical="center"/>
    </xf>
    <xf numFmtId="180" fontId="7" fillId="6" borderId="3" xfId="0" applyNumberFormat="1" applyFont="1" applyFill="1" applyBorder="1" applyAlignment="1">
      <alignment horizontal="right" vertical="center"/>
    </xf>
    <xf numFmtId="173" fontId="7" fillId="6" borderId="3" xfId="0" applyNumberFormat="1" applyFont="1" applyFill="1" applyBorder="1" applyAlignment="1">
      <alignment horizontal="right" vertical="center"/>
    </xf>
    <xf numFmtId="174" fontId="33" fillId="8" borderId="3" xfId="0" applyNumberFormat="1" applyFont="1" applyFill="1" applyBorder="1" applyAlignment="1">
      <alignment horizontal="right" vertical="center"/>
    </xf>
    <xf numFmtId="174" fontId="10" fillId="6" borderId="3" xfId="0" applyNumberFormat="1" applyFont="1" applyFill="1" applyBorder="1" applyAlignment="1">
      <alignment horizontal="right" vertical="center"/>
    </xf>
    <xf numFmtId="174" fontId="50" fillId="7" borderId="3" xfId="0" applyNumberFormat="1" applyFont="1" applyFill="1" applyBorder="1" applyAlignment="1">
      <alignment horizontal="right" vertical="center"/>
    </xf>
    <xf numFmtId="174" fontId="51" fillId="6" borderId="3" xfId="0" applyNumberFormat="1" applyFont="1" applyFill="1" applyBorder="1" applyAlignment="1">
      <alignment horizontal="right" vertical="center"/>
    </xf>
    <xf numFmtId="174" fontId="36" fillId="9" borderId="3" xfId="0" applyNumberFormat="1" applyFont="1" applyFill="1" applyBorder="1" applyAlignment="1">
      <alignment horizontal="right" vertical="center"/>
    </xf>
    <xf numFmtId="174" fontId="11" fillId="6" borderId="3" xfId="0" applyNumberFormat="1" applyFont="1" applyFill="1" applyBorder="1" applyAlignment="1">
      <alignment horizontal="right" vertical="center"/>
    </xf>
    <xf numFmtId="0" fontId="1" fillId="12" borderId="0" xfId="0" applyFont="1" applyFill="1"/>
    <xf numFmtId="0" fontId="84" fillId="6" borderId="3" xfId="0" applyFont="1" applyFill="1" applyBorder="1" applyAlignment="1">
      <alignment horizontal="left" vertical="center" wrapText="1"/>
    </xf>
    <xf numFmtId="0" fontId="84" fillId="8" borderId="3" xfId="0" applyFont="1" applyFill="1" applyBorder="1" applyAlignment="1">
      <alignment horizontal="left" vertical="center" wrapText="1"/>
    </xf>
    <xf numFmtId="0" fontId="84" fillId="7" borderId="3" xfId="0" applyFont="1" applyFill="1" applyBorder="1" applyAlignment="1">
      <alignment horizontal="left" vertical="center" wrapText="1"/>
    </xf>
    <xf numFmtId="0" fontId="84" fillId="9" borderId="3" xfId="0" applyFont="1" applyFill="1" applyBorder="1" applyAlignment="1">
      <alignment horizontal="left" vertical="center" wrapText="1"/>
    </xf>
    <xf numFmtId="0" fontId="84" fillId="10" borderId="3" xfId="0" applyFont="1" applyFill="1" applyBorder="1" applyAlignment="1">
      <alignment horizontal="left" vertical="center" wrapText="1"/>
    </xf>
    <xf numFmtId="0" fontId="10" fillId="9" borderId="3" xfId="0" applyFont="1" applyFill="1" applyBorder="1" applyAlignment="1">
      <alignment horizontal="left" vertical="center" wrapText="1"/>
    </xf>
    <xf numFmtId="0" fontId="10" fillId="7" borderId="3" xfId="0" applyFont="1" applyFill="1" applyBorder="1" applyAlignment="1">
      <alignment horizontal="left" vertical="center" wrapText="1"/>
    </xf>
    <xf numFmtId="0" fontId="10" fillId="10" borderId="3" xfId="0" applyFont="1" applyFill="1" applyBorder="1" applyAlignment="1">
      <alignment horizontal="left" vertical="center" wrapText="1"/>
    </xf>
    <xf numFmtId="0" fontId="41" fillId="9" borderId="3" xfId="0" applyFont="1" applyFill="1" applyBorder="1" applyAlignment="1">
      <alignment horizontal="left" vertical="center" wrapText="1"/>
    </xf>
    <xf numFmtId="0" fontId="41" fillId="7" borderId="3" xfId="0" applyFont="1" applyFill="1" applyBorder="1" applyAlignment="1">
      <alignment horizontal="left" vertical="center" wrapText="1"/>
    </xf>
    <xf numFmtId="0" fontId="41" fillId="8" borderId="3" xfId="0" applyFont="1" applyFill="1" applyBorder="1" applyAlignment="1">
      <alignment horizontal="left" vertical="center" wrapText="1"/>
    </xf>
    <xf numFmtId="0" fontId="16" fillId="4" borderId="3" xfId="0" applyFont="1" applyFill="1" applyBorder="1" applyAlignment="1">
      <alignment horizontal="left" vertical="center" wrapText="1"/>
    </xf>
    <xf numFmtId="0" fontId="19" fillId="6" borderId="3" xfId="0" applyFont="1" applyFill="1" applyBorder="1" applyAlignment="1">
      <alignment horizontal="left" vertical="center" wrapText="1"/>
    </xf>
    <xf numFmtId="0" fontId="19" fillId="8" borderId="3" xfId="0" applyFont="1" applyFill="1" applyBorder="1" applyAlignment="1">
      <alignment horizontal="left" vertical="center" wrapText="1"/>
    </xf>
    <xf numFmtId="0" fontId="86" fillId="4" borderId="3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31" borderId="0" xfId="0" applyFont="1" applyFill="1" applyAlignment="1">
      <alignment horizontal="left" vertical="center" wrapText="1"/>
    </xf>
    <xf numFmtId="0" fontId="6" fillId="21" borderId="2" xfId="0" applyFont="1" applyFill="1" applyBorder="1" applyAlignment="1">
      <alignment horizontal="left" vertical="center" wrapText="1"/>
    </xf>
    <xf numFmtId="0" fontId="6" fillId="19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13" borderId="2" xfId="0" applyFont="1" applyFill="1" applyBorder="1" applyAlignment="1">
      <alignment horizontal="left" vertical="center" wrapText="1"/>
    </xf>
    <xf numFmtId="0" fontId="6" fillId="16" borderId="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1" fillId="3" borderId="0" xfId="0" applyFont="1" applyFill="1"/>
    <xf numFmtId="0" fontId="37" fillId="6" borderId="6" xfId="0" applyFont="1" applyFill="1" applyBorder="1" applyAlignment="1">
      <alignment horizontal="left" vertical="center"/>
    </xf>
    <xf numFmtId="0" fontId="25" fillId="2" borderId="0" xfId="0" applyFont="1" applyFill="1" applyAlignment="1">
      <alignment horizontal="center" vertical="center" wrapText="1"/>
    </xf>
    <xf numFmtId="0" fontId="26" fillId="2" borderId="4" xfId="0" applyFont="1" applyFill="1" applyBorder="1" applyAlignment="1">
      <alignment horizontal="center" vertical="center" wrapText="1"/>
    </xf>
    <xf numFmtId="0" fontId="27" fillId="4" borderId="0" xfId="0" applyFont="1" applyFill="1" applyAlignment="1">
      <alignment horizontal="center" vertical="center" wrapText="1"/>
    </xf>
    <xf numFmtId="0" fontId="46" fillId="4" borderId="0" xfId="0" applyFont="1" applyFill="1" applyAlignment="1">
      <alignment horizontal="center" vertical="center" wrapText="1"/>
    </xf>
    <xf numFmtId="0" fontId="6" fillId="25" borderId="2" xfId="0" applyFont="1" applyFill="1" applyBorder="1" applyAlignment="1">
      <alignment horizontal="left" vertical="center" wrapText="1"/>
    </xf>
    <xf numFmtId="0" fontId="31" fillId="4" borderId="2" xfId="0" applyFont="1" applyFill="1" applyBorder="1" applyAlignment="1">
      <alignment horizontal="left" vertical="center" wrapText="1"/>
    </xf>
    <xf numFmtId="0" fontId="6" fillId="27" borderId="2" xfId="0" applyFont="1" applyFill="1" applyBorder="1" applyAlignment="1">
      <alignment horizontal="left" vertical="center" wrapText="1"/>
    </xf>
    <xf numFmtId="0" fontId="6" fillId="28" borderId="2" xfId="0" applyFont="1" applyFill="1" applyBorder="1" applyAlignment="1">
      <alignment horizontal="left" vertical="center" wrapText="1"/>
    </xf>
    <xf numFmtId="0" fontId="31" fillId="2" borderId="2" xfId="0" applyFont="1" applyFill="1" applyBorder="1" applyAlignment="1">
      <alignment horizontal="left" vertical="center" wrapText="1"/>
    </xf>
    <xf numFmtId="0" fontId="31" fillId="2" borderId="7" xfId="0" applyFont="1" applyFill="1" applyBorder="1" applyAlignment="1">
      <alignment horizontal="left" vertical="center" wrapText="1"/>
    </xf>
    <xf numFmtId="0" fontId="46" fillId="2" borderId="0" xfId="0" applyFont="1" applyFill="1" applyAlignment="1">
      <alignment horizontal="center" vertical="center" wrapText="1"/>
    </xf>
    <xf numFmtId="0" fontId="82" fillId="10" borderId="6" xfId="0" applyFont="1" applyFill="1" applyBorder="1" applyAlignment="1">
      <alignment horizontal="left" vertical="center" wrapText="1"/>
    </xf>
    <xf numFmtId="0" fontId="6" fillId="30" borderId="2" xfId="0" applyFont="1" applyFill="1" applyBorder="1" applyAlignment="1">
      <alignment horizontal="left" vertical="center" wrapText="1"/>
    </xf>
    <xf numFmtId="0" fontId="78" fillId="3" borderId="2" xfId="0" applyFont="1" applyFill="1" applyBorder="1" applyAlignment="1">
      <alignment horizontal="left" vertical="center" wrapText="1"/>
    </xf>
    <xf numFmtId="0" fontId="79" fillId="7" borderId="6" xfId="0" applyFont="1" applyFill="1" applyBorder="1" applyAlignment="1">
      <alignment horizontal="left" vertical="center" wrapText="1"/>
    </xf>
    <xf numFmtId="0" fontId="46" fillId="4" borderId="2" xfId="0" applyFont="1" applyFill="1" applyBorder="1" applyAlignment="1">
      <alignment horizontal="left" vertical="center" wrapText="1"/>
    </xf>
    <xf numFmtId="0" fontId="46" fillId="16" borderId="2" xfId="0" applyFont="1" applyFill="1" applyBorder="1" applyAlignment="1">
      <alignment horizontal="left" vertical="center" wrapText="1"/>
    </xf>
    <xf numFmtId="0" fontId="46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83" fillId="2" borderId="2" xfId="0" applyFont="1" applyFill="1" applyBorder="1" applyAlignment="1">
      <alignment horizontal="center" vertical="center" wrapText="1"/>
    </xf>
    <xf numFmtId="0" fontId="46" fillId="13" borderId="2" xfId="0" applyFont="1" applyFill="1" applyBorder="1" applyAlignment="1">
      <alignment horizontal="left" vertical="center" wrapText="1"/>
    </xf>
    <xf numFmtId="0" fontId="88" fillId="33" borderId="0" xfId="0" applyFont="1" applyFill="1" applyAlignment="1">
      <alignment horizontal="left" vertical="center" wrapText="1"/>
    </xf>
    <xf numFmtId="0" fontId="89" fillId="33" borderId="0" xfId="0" applyFont="1" applyFill="1" applyAlignment="1">
      <alignment horizontal="left" vertical="center" wrapText="1"/>
    </xf>
    <xf numFmtId="0" fontId="88" fillId="31" borderId="6" xfId="0" applyFont="1" applyFill="1" applyBorder="1" applyAlignment="1">
      <alignment horizontal="left" vertical="center" wrapText="1"/>
    </xf>
    <xf numFmtId="0" fontId="46" fillId="4" borderId="6" xfId="0" applyFont="1" applyFill="1" applyBorder="1" applyAlignment="1">
      <alignment horizontal="left" vertical="center" wrapText="1"/>
    </xf>
    <xf numFmtId="0" fontId="87" fillId="2" borderId="0" xfId="0" applyFont="1" applyFill="1" applyAlignment="1">
      <alignment horizontal="left" vertical="center" wrapText="1"/>
    </xf>
    <xf numFmtId="0" fontId="46" fillId="13" borderId="6" xfId="0" applyFont="1" applyFill="1" applyBorder="1" applyAlignment="1">
      <alignment horizontal="left" vertical="center" wrapText="1"/>
    </xf>
    <xf numFmtId="0" fontId="46" fillId="32" borderId="6" xfId="0" applyFont="1" applyFill="1" applyBorder="1" applyAlignment="1">
      <alignment horizontal="left" vertical="center" wrapText="1"/>
    </xf>
    <xf numFmtId="0" fontId="46" fillId="20" borderId="6" xfId="0" applyFont="1" applyFill="1" applyBorder="1" applyAlignment="1">
      <alignment horizontal="left" vertical="center" wrapText="1"/>
    </xf>
    <xf numFmtId="0" fontId="46" fillId="16" borderId="6" xfId="0" applyFont="1" applyFill="1" applyBorder="1" applyAlignment="1">
      <alignment horizontal="left" vertical="center" wrapText="1"/>
    </xf>
    <xf numFmtId="0" fontId="85" fillId="2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 vertical="center" wrapText="1"/>
    </xf>
    <xf numFmtId="0" fontId="46" fillId="5" borderId="6" xfId="0" applyFont="1" applyFill="1" applyBorder="1" applyAlignment="1">
      <alignment horizontal="left" vertical="center" wrapText="1"/>
    </xf>
    <xf numFmtId="0" fontId="45" fillId="12" borderId="0" xfId="0" applyFont="1" applyFill="1" applyProtection="1">
      <protection locked="0"/>
    </xf>
    <xf numFmtId="0" fontId="45" fillId="1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0" fontId="27" fillId="4" borderId="0" xfId="0" applyFont="1" applyFill="1" applyAlignment="1" applyProtection="1">
      <alignment horizontal="center" vertical="center" wrapText="1"/>
      <protection locked="0"/>
    </xf>
    <xf numFmtId="0" fontId="45" fillId="3" borderId="0" xfId="0" applyFont="1" applyFill="1" applyAlignment="1" applyProtection="1">
      <alignment horizontal="center" vertical="center" wrapText="1"/>
      <protection locked="0"/>
    </xf>
    <xf numFmtId="0" fontId="45" fillId="3" borderId="0" xfId="0" applyFont="1" applyFill="1" applyProtection="1">
      <protection locked="0"/>
    </xf>
    <xf numFmtId="175" fontId="59" fillId="13" borderId="3" xfId="0" applyNumberFormat="1" applyFont="1" applyFill="1" applyBorder="1" applyAlignment="1" applyProtection="1">
      <alignment horizontal="center" vertical="center" wrapText="1"/>
      <protection locked="0"/>
    </xf>
    <xf numFmtId="175" fontId="60" fillId="3" borderId="3" xfId="0" applyNumberFormat="1" applyFont="1" applyFill="1" applyBorder="1" applyAlignment="1" applyProtection="1">
      <alignment horizontal="center" vertical="center" wrapText="1"/>
      <protection locked="0"/>
    </xf>
    <xf numFmtId="174" fontId="59" fillId="13" borderId="3" xfId="0" applyNumberFormat="1" applyFont="1" applyFill="1" applyBorder="1" applyAlignment="1" applyProtection="1">
      <alignment horizontal="center" vertical="center" wrapText="1"/>
      <protection locked="0"/>
    </xf>
    <xf numFmtId="174" fontId="59" fillId="5" borderId="3" xfId="0" applyNumberFormat="1" applyFont="1" applyFill="1" applyBorder="1" applyAlignment="1" applyProtection="1">
      <alignment horizontal="center" vertical="center" wrapText="1"/>
      <protection locked="0"/>
    </xf>
    <xf numFmtId="175" fontId="59" fillId="4" borderId="3" xfId="0" applyNumberFormat="1" applyFont="1" applyFill="1" applyBorder="1" applyAlignment="1" applyProtection="1">
      <alignment horizontal="center" vertical="center" wrapText="1"/>
      <protection locked="0"/>
    </xf>
    <xf numFmtId="3" fontId="59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59" fillId="16" borderId="3" xfId="0" applyNumberFormat="1" applyFont="1" applyFill="1" applyBorder="1" applyAlignment="1" applyProtection="1">
      <alignment horizontal="center" vertical="center" wrapText="1"/>
      <protection locked="0"/>
    </xf>
    <xf numFmtId="174" fontId="59" fillId="21" borderId="3" xfId="0" applyNumberFormat="1" applyFont="1" applyFill="1" applyBorder="1" applyAlignment="1" applyProtection="1">
      <alignment horizontal="center" vertical="center" wrapText="1"/>
      <protection locked="0"/>
    </xf>
    <xf numFmtId="175" fontId="61" fillId="13" borderId="3" xfId="0" applyNumberFormat="1" applyFont="1" applyFill="1" applyBorder="1" applyAlignment="1" applyProtection="1">
      <alignment horizontal="center" vertical="center" wrapText="1"/>
      <protection locked="0"/>
    </xf>
    <xf numFmtId="175" fontId="62" fillId="3" borderId="3" xfId="0" applyNumberFormat="1" applyFont="1" applyFill="1" applyBorder="1" applyAlignment="1" applyProtection="1">
      <alignment horizontal="center" vertical="center" wrapText="1"/>
      <protection locked="0"/>
    </xf>
    <xf numFmtId="174" fontId="61" fillId="13" borderId="3" xfId="0" applyNumberFormat="1" applyFont="1" applyFill="1" applyBorder="1" applyAlignment="1" applyProtection="1">
      <alignment horizontal="center" vertical="center" wrapText="1"/>
      <protection locked="0"/>
    </xf>
    <xf numFmtId="174" fontId="61" fillId="5" borderId="3" xfId="0" applyNumberFormat="1" applyFont="1" applyFill="1" applyBorder="1" applyAlignment="1" applyProtection="1">
      <alignment horizontal="center" vertical="center" wrapText="1"/>
      <protection locked="0"/>
    </xf>
    <xf numFmtId="175" fontId="61" fillId="4" borderId="3" xfId="0" applyNumberFormat="1" applyFont="1" applyFill="1" applyBorder="1" applyAlignment="1" applyProtection="1">
      <alignment horizontal="center" vertical="center" wrapText="1"/>
      <protection locked="0"/>
    </xf>
    <xf numFmtId="175" fontId="61" fillId="2" borderId="3" xfId="0" applyNumberFormat="1" applyFont="1" applyFill="1" applyBorder="1" applyAlignment="1" applyProtection="1">
      <alignment horizontal="center" vertical="center" wrapText="1"/>
      <protection locked="0"/>
    </xf>
    <xf numFmtId="172" fontId="61" fillId="16" borderId="3" xfId="0" applyNumberFormat="1" applyFont="1" applyFill="1" applyBorder="1" applyAlignment="1" applyProtection="1">
      <alignment horizontal="center" vertical="center" wrapText="1"/>
      <protection locked="0"/>
    </xf>
    <xf numFmtId="175" fontId="61" fillId="21" borderId="3" xfId="0" applyNumberFormat="1" applyFont="1" applyFill="1" applyBorder="1" applyAlignment="1" applyProtection="1">
      <alignment horizontal="center" vertical="center" wrapText="1"/>
      <protection locked="0"/>
    </xf>
    <xf numFmtId="0" fontId="63" fillId="7" borderId="3" xfId="0" applyFont="1" applyFill="1" applyBorder="1" applyAlignment="1" applyProtection="1">
      <alignment horizontal="center" vertical="center" wrapText="1"/>
      <protection locked="0"/>
    </xf>
    <xf numFmtId="0" fontId="64" fillId="8" borderId="3" xfId="0" applyFont="1" applyFill="1" applyBorder="1" applyAlignment="1" applyProtection="1">
      <alignment horizontal="center" vertical="center" wrapText="1"/>
      <protection locked="0"/>
    </xf>
    <xf numFmtId="0" fontId="65" fillId="9" borderId="3" xfId="0" applyFont="1" applyFill="1" applyBorder="1" applyAlignment="1" applyProtection="1">
      <alignment horizontal="center" vertical="center" wrapText="1"/>
      <protection locked="0"/>
    </xf>
    <xf numFmtId="0" fontId="65" fillId="7" borderId="3" xfId="0" applyFont="1" applyFill="1" applyBorder="1" applyAlignment="1" applyProtection="1">
      <alignment horizontal="center" vertical="center" wrapText="1"/>
      <protection locked="0"/>
    </xf>
    <xf numFmtId="0" fontId="66" fillId="24" borderId="3" xfId="0" applyFont="1" applyFill="1" applyBorder="1" applyAlignment="1" applyProtection="1">
      <alignment horizontal="center" vertical="center" wrapText="1"/>
      <protection locked="0"/>
    </xf>
    <xf numFmtId="174" fontId="67" fillId="7" borderId="3" xfId="0" applyNumberFormat="1" applyFont="1" applyFill="1" applyBorder="1" applyAlignment="1" applyProtection="1">
      <alignment horizontal="center" vertical="center" wrapText="1"/>
      <protection locked="0"/>
    </xf>
    <xf numFmtId="174" fontId="68" fillId="8" borderId="3" xfId="0" applyNumberFormat="1" applyFont="1" applyFill="1" applyBorder="1" applyAlignment="1" applyProtection="1">
      <alignment horizontal="center" vertical="center" wrapText="1"/>
      <protection locked="0"/>
    </xf>
    <xf numFmtId="174" fontId="69" fillId="9" borderId="3" xfId="0" applyNumberFormat="1" applyFont="1" applyFill="1" applyBorder="1" applyAlignment="1" applyProtection="1">
      <alignment horizontal="center" vertical="center" wrapText="1"/>
      <protection locked="0"/>
    </xf>
    <xf numFmtId="177" fontId="69" fillId="7" borderId="3" xfId="0" applyNumberFormat="1" applyFont="1" applyFill="1" applyBorder="1" applyAlignment="1" applyProtection="1">
      <alignment horizontal="center" vertical="center" wrapText="1"/>
      <protection locked="0"/>
    </xf>
    <xf numFmtId="177" fontId="69" fillId="9" borderId="3" xfId="0" applyNumberFormat="1" applyFont="1" applyFill="1" applyBorder="1" applyAlignment="1" applyProtection="1">
      <alignment horizontal="center" vertical="center" wrapText="1"/>
      <protection locked="0"/>
    </xf>
    <xf numFmtId="177" fontId="70" fillId="24" borderId="3" xfId="0" applyNumberFormat="1" applyFont="1" applyFill="1" applyBorder="1" applyAlignment="1" applyProtection="1">
      <alignment horizontal="center" vertical="center" wrapText="1"/>
      <protection locked="0"/>
    </xf>
    <xf numFmtId="173" fontId="68" fillId="8" borderId="3" xfId="0" applyNumberFormat="1" applyFont="1" applyFill="1" applyBorder="1" applyAlignment="1" applyProtection="1">
      <alignment horizontal="center" vertical="center" wrapText="1"/>
      <protection locked="0"/>
    </xf>
    <xf numFmtId="174" fontId="70" fillId="24" borderId="3" xfId="0" applyNumberFormat="1" applyFont="1" applyFill="1" applyBorder="1" applyAlignment="1" applyProtection="1">
      <alignment horizontal="center" vertical="center" wrapText="1"/>
      <protection locked="0"/>
    </xf>
    <xf numFmtId="0" fontId="45" fillId="12" borderId="0" xfId="0" applyFont="1" applyFill="1" applyAlignment="1" applyProtection="1">
      <alignment horizontal="left" vertical="center" wrapText="1"/>
      <protection locked="0"/>
    </xf>
    <xf numFmtId="175" fontId="45" fillId="12" borderId="0" xfId="0" applyNumberFormat="1" applyFont="1" applyFill="1" applyAlignment="1" applyProtection="1">
      <alignment horizontal="right" vertical="center"/>
      <protection locked="0"/>
    </xf>
    <xf numFmtId="0" fontId="46" fillId="4" borderId="0" xfId="0" applyFont="1" applyFill="1" applyAlignment="1" applyProtection="1">
      <alignment horizontal="center" vertical="center" wrapText="1"/>
      <protection locked="0"/>
    </xf>
    <xf numFmtId="0" fontId="16" fillId="5" borderId="3" xfId="0" applyFont="1" applyFill="1" applyBorder="1" applyAlignment="1" applyProtection="1">
      <alignment horizontal="center" vertical="center" wrapText="1"/>
      <protection locked="0"/>
    </xf>
    <xf numFmtId="174" fontId="16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17" fillId="8" borderId="3" xfId="0" applyFont="1" applyFill="1" applyBorder="1" applyAlignment="1" applyProtection="1">
      <alignment horizontal="left" vertical="center" wrapText="1"/>
      <protection locked="0"/>
    </xf>
    <xf numFmtId="165" fontId="52" fillId="8" borderId="3" xfId="0" applyNumberFormat="1" applyFont="1" applyFill="1" applyBorder="1" applyAlignment="1" applyProtection="1">
      <alignment horizontal="right" vertical="center"/>
      <protection locked="0"/>
    </xf>
    <xf numFmtId="165" fontId="7" fillId="6" borderId="3" xfId="0" applyNumberFormat="1" applyFont="1" applyFill="1" applyBorder="1" applyAlignment="1" applyProtection="1">
      <alignment horizontal="right" vertical="center"/>
      <protection locked="0"/>
    </xf>
    <xf numFmtId="0" fontId="17" fillId="7" borderId="3" xfId="0" applyFont="1" applyFill="1" applyBorder="1" applyAlignment="1" applyProtection="1">
      <alignment horizontal="left" vertical="center" wrapText="1"/>
      <protection locked="0"/>
    </xf>
    <xf numFmtId="165" fontId="52" fillId="7" borderId="3" xfId="0" applyNumberFormat="1" applyFont="1" applyFill="1" applyBorder="1" applyAlignment="1" applyProtection="1">
      <alignment horizontal="right" vertical="center"/>
      <protection locked="0"/>
    </xf>
    <xf numFmtId="0" fontId="17" fillId="6" borderId="3" xfId="0" applyFont="1" applyFill="1" applyBorder="1" applyAlignment="1" applyProtection="1">
      <alignment horizontal="left" vertical="center" wrapText="1"/>
      <protection locked="0"/>
    </xf>
    <xf numFmtId="165" fontId="52" fillId="6" borderId="3" xfId="0" applyNumberFormat="1" applyFont="1" applyFill="1" applyBorder="1" applyAlignment="1" applyProtection="1">
      <alignment horizontal="right" vertical="center"/>
      <protection locked="0"/>
    </xf>
    <xf numFmtId="166" fontId="52" fillId="7" borderId="3" xfId="0" applyNumberFormat="1" applyFont="1" applyFill="1" applyBorder="1" applyAlignment="1" applyProtection="1">
      <alignment horizontal="right" vertical="center"/>
      <protection locked="0"/>
    </xf>
    <xf numFmtId="166" fontId="7" fillId="6" borderId="3" xfId="0" applyNumberFormat="1" applyFont="1" applyFill="1" applyBorder="1" applyAlignment="1" applyProtection="1">
      <alignment horizontal="right" vertical="center"/>
      <protection locked="0"/>
    </xf>
    <xf numFmtId="166" fontId="52" fillId="8" borderId="3" xfId="0" applyNumberFormat="1" applyFont="1" applyFill="1" applyBorder="1" applyAlignment="1" applyProtection="1">
      <alignment horizontal="right" vertical="center"/>
      <protection locked="0"/>
    </xf>
    <xf numFmtId="0" fontId="17" fillId="9" borderId="3" xfId="0" applyFont="1" applyFill="1" applyBorder="1" applyAlignment="1" applyProtection="1">
      <alignment horizontal="left" vertical="center" wrapText="1"/>
      <protection locked="0"/>
    </xf>
    <xf numFmtId="166" fontId="52" fillId="9" borderId="3" xfId="0" applyNumberFormat="1" applyFont="1" applyFill="1" applyBorder="1" applyAlignment="1" applyProtection="1">
      <alignment horizontal="right" vertical="center"/>
      <protection locked="0"/>
    </xf>
    <xf numFmtId="178" fontId="52" fillId="7" borderId="3" xfId="0" applyNumberFormat="1" applyFont="1" applyFill="1" applyBorder="1" applyAlignment="1" applyProtection="1">
      <alignment horizontal="right" vertical="center"/>
      <protection locked="0"/>
    </xf>
    <xf numFmtId="178" fontId="7" fillId="6" borderId="3" xfId="0" applyNumberFormat="1" applyFont="1" applyFill="1" applyBorder="1" applyAlignment="1" applyProtection="1">
      <alignment horizontal="right" vertical="center"/>
      <protection locked="0"/>
    </xf>
    <xf numFmtId="0" fontId="17" fillId="24" borderId="3" xfId="0" applyFont="1" applyFill="1" applyBorder="1" applyAlignment="1" applyProtection="1">
      <alignment horizontal="left" vertical="center" wrapText="1"/>
      <protection locked="0"/>
    </xf>
    <xf numFmtId="178" fontId="52" fillId="24" borderId="3" xfId="0" applyNumberFormat="1" applyFont="1" applyFill="1" applyBorder="1" applyAlignment="1" applyProtection="1">
      <alignment horizontal="right" vertical="center"/>
      <protection locked="0"/>
    </xf>
    <xf numFmtId="0" fontId="17" fillId="10" borderId="3" xfId="0" applyFont="1" applyFill="1" applyBorder="1" applyAlignment="1" applyProtection="1">
      <alignment horizontal="left" vertical="center" wrapText="1"/>
      <protection locked="0"/>
    </xf>
    <xf numFmtId="164" fontId="52" fillId="10" borderId="3" xfId="0" applyNumberFormat="1" applyFont="1" applyFill="1" applyBorder="1" applyAlignment="1" applyProtection="1">
      <alignment horizontal="right" vertical="center"/>
      <protection locked="0"/>
    </xf>
    <xf numFmtId="164" fontId="7" fillId="6" borderId="3" xfId="0" applyNumberFormat="1" applyFont="1" applyFill="1" applyBorder="1" applyAlignment="1" applyProtection="1">
      <alignment horizontal="right" vertical="center"/>
      <protection locked="0"/>
    </xf>
    <xf numFmtId="0" fontId="46" fillId="2" borderId="0" xfId="0" applyFont="1" applyFill="1" applyAlignment="1" applyProtection="1">
      <alignment horizontal="center" vertical="center" wrapText="1"/>
      <protection locked="0"/>
    </xf>
    <xf numFmtId="0" fontId="6" fillId="2" borderId="0" xfId="0" applyFont="1" applyFill="1" applyAlignment="1" applyProtection="1">
      <alignment horizontal="center" vertical="center" wrapText="1"/>
      <protection locked="0"/>
    </xf>
    <xf numFmtId="0" fontId="16" fillId="4" borderId="3" xfId="0" applyFont="1" applyFill="1" applyBorder="1" applyAlignment="1" applyProtection="1">
      <alignment horizontal="center" vertical="center" wrapText="1"/>
      <protection locked="0"/>
    </xf>
    <xf numFmtId="165" fontId="56" fillId="8" borderId="3" xfId="0" applyNumberFormat="1" applyFont="1" applyFill="1" applyBorder="1" applyAlignment="1" applyProtection="1">
      <alignment horizontal="right" vertical="center"/>
      <protection locked="0"/>
    </xf>
    <xf numFmtId="165" fontId="32" fillId="8" borderId="3" xfId="0" applyNumberFormat="1" applyFont="1" applyFill="1" applyBorder="1" applyAlignment="1" applyProtection="1">
      <alignment horizontal="right" vertical="center"/>
      <protection locked="0"/>
    </xf>
    <xf numFmtId="166" fontId="32" fillId="8" borderId="3" xfId="0" applyNumberFormat="1" applyFont="1" applyFill="1" applyBorder="1" applyAlignment="1" applyProtection="1">
      <alignment horizontal="center" vertical="center" wrapText="1"/>
      <protection locked="0"/>
    </xf>
    <xf numFmtId="0" fontId="57" fillId="8" borderId="3" xfId="0" applyFont="1" applyFill="1" applyBorder="1" applyAlignment="1" applyProtection="1">
      <alignment horizontal="center" vertical="center" wrapText="1"/>
      <protection locked="0"/>
    </xf>
    <xf numFmtId="165" fontId="56" fillId="7" borderId="3" xfId="0" applyNumberFormat="1" applyFont="1" applyFill="1" applyBorder="1" applyAlignment="1" applyProtection="1">
      <alignment horizontal="right" vertical="center"/>
      <protection locked="0"/>
    </xf>
    <xf numFmtId="165" fontId="32" fillId="7" borderId="3" xfId="0" applyNumberFormat="1" applyFont="1" applyFill="1" applyBorder="1" applyAlignment="1" applyProtection="1">
      <alignment horizontal="right" vertical="center"/>
      <protection locked="0"/>
    </xf>
    <xf numFmtId="166" fontId="32" fillId="7" borderId="3" xfId="0" applyNumberFormat="1" applyFont="1" applyFill="1" applyBorder="1" applyAlignment="1" applyProtection="1">
      <alignment horizontal="center" vertical="center" wrapText="1"/>
      <protection locked="0"/>
    </xf>
    <xf numFmtId="0" fontId="57" fillId="7" borderId="3" xfId="0" applyFont="1" applyFill="1" applyBorder="1" applyAlignment="1" applyProtection="1">
      <alignment horizontal="center" vertical="center" wrapText="1"/>
      <protection locked="0"/>
    </xf>
    <xf numFmtId="166" fontId="56" fillId="7" borderId="3" xfId="0" applyNumberFormat="1" applyFont="1" applyFill="1" applyBorder="1" applyAlignment="1" applyProtection="1">
      <alignment horizontal="right" vertical="center"/>
      <protection locked="0"/>
    </xf>
    <xf numFmtId="166" fontId="32" fillId="7" borderId="3" xfId="0" applyNumberFormat="1" applyFont="1" applyFill="1" applyBorder="1" applyAlignment="1" applyProtection="1">
      <alignment horizontal="right" vertical="center"/>
      <protection locked="0"/>
    </xf>
    <xf numFmtId="165" fontId="56" fillId="6" borderId="3" xfId="0" applyNumberFormat="1" applyFont="1" applyFill="1" applyBorder="1" applyAlignment="1" applyProtection="1">
      <alignment horizontal="right" vertical="center"/>
      <protection locked="0"/>
    </xf>
    <xf numFmtId="165" fontId="32" fillId="6" borderId="3" xfId="0" applyNumberFormat="1" applyFont="1" applyFill="1" applyBorder="1" applyAlignment="1" applyProtection="1">
      <alignment horizontal="right" vertical="center"/>
      <protection locked="0"/>
    </xf>
    <xf numFmtId="166" fontId="32" fillId="6" borderId="3" xfId="0" applyNumberFormat="1" applyFont="1" applyFill="1" applyBorder="1" applyAlignment="1" applyProtection="1">
      <alignment horizontal="center" vertical="center" wrapText="1"/>
      <protection locked="0"/>
    </xf>
    <xf numFmtId="0" fontId="57" fillId="6" borderId="3" xfId="0" applyFont="1" applyFill="1" applyBorder="1" applyAlignment="1" applyProtection="1">
      <alignment horizontal="center" vertical="center" wrapText="1"/>
      <protection locked="0"/>
    </xf>
    <xf numFmtId="179" fontId="17" fillId="8" borderId="3" xfId="0" applyNumberFormat="1" applyFont="1" applyFill="1" applyBorder="1" applyAlignment="1" applyProtection="1">
      <alignment horizontal="left" vertical="center" wrapText="1"/>
      <protection locked="0"/>
    </xf>
    <xf numFmtId="166" fontId="56" fillId="8" borderId="3" xfId="0" applyNumberFormat="1" applyFont="1" applyFill="1" applyBorder="1" applyAlignment="1" applyProtection="1">
      <alignment horizontal="right" vertical="center"/>
      <protection locked="0"/>
    </xf>
    <xf numFmtId="166" fontId="32" fillId="8" borderId="3" xfId="0" applyNumberFormat="1" applyFont="1" applyFill="1" applyBorder="1" applyAlignment="1" applyProtection="1">
      <alignment horizontal="right" vertical="center"/>
      <protection locked="0"/>
    </xf>
    <xf numFmtId="180" fontId="57" fillId="8" borderId="3" xfId="0" applyNumberFormat="1" applyFont="1" applyFill="1" applyBorder="1" applyAlignment="1" applyProtection="1">
      <alignment horizontal="center" vertical="center" wrapText="1"/>
      <protection locked="0"/>
    </xf>
    <xf numFmtId="174" fontId="45" fillId="12" borderId="0" xfId="0" applyNumberFormat="1" applyFont="1" applyFill="1" applyAlignment="1" applyProtection="1">
      <alignment horizontal="center" vertical="center" wrapText="1"/>
      <protection locked="0"/>
    </xf>
    <xf numFmtId="173" fontId="45" fillId="12" borderId="0" xfId="0" applyNumberFormat="1" applyFont="1" applyFill="1" applyAlignment="1" applyProtection="1">
      <alignment horizontal="center" vertical="center" wrapText="1"/>
      <protection locked="0"/>
    </xf>
    <xf numFmtId="166" fontId="56" fillId="9" borderId="3" xfId="0" applyNumberFormat="1" applyFont="1" applyFill="1" applyBorder="1" applyAlignment="1" applyProtection="1">
      <alignment horizontal="right" vertical="center"/>
      <protection locked="0"/>
    </xf>
    <xf numFmtId="166" fontId="32" fillId="9" borderId="3" xfId="0" applyNumberFormat="1" applyFont="1" applyFill="1" applyBorder="1" applyAlignment="1" applyProtection="1">
      <alignment horizontal="right" vertical="center"/>
      <protection locked="0"/>
    </xf>
    <xf numFmtId="166" fontId="32" fillId="9" borderId="3" xfId="0" applyNumberFormat="1" applyFont="1" applyFill="1" applyBorder="1" applyAlignment="1" applyProtection="1">
      <alignment horizontal="center" vertical="center" wrapText="1"/>
      <protection locked="0"/>
    </xf>
    <xf numFmtId="0" fontId="57" fillId="9" borderId="3" xfId="0" applyFont="1" applyFill="1" applyBorder="1" applyAlignment="1" applyProtection="1">
      <alignment horizontal="center" vertical="center" wrapText="1"/>
      <protection locked="0"/>
    </xf>
    <xf numFmtId="178" fontId="56" fillId="7" borderId="3" xfId="0" applyNumberFormat="1" applyFont="1" applyFill="1" applyBorder="1" applyAlignment="1" applyProtection="1">
      <alignment horizontal="right" vertical="center"/>
      <protection locked="0"/>
    </xf>
    <xf numFmtId="178" fontId="32" fillId="7" borderId="3" xfId="0" applyNumberFormat="1" applyFont="1" applyFill="1" applyBorder="1" applyAlignment="1" applyProtection="1">
      <alignment horizontal="right" vertical="center"/>
      <protection locked="0"/>
    </xf>
    <xf numFmtId="178" fontId="56" fillId="24" borderId="3" xfId="0" applyNumberFormat="1" applyFont="1" applyFill="1" applyBorder="1" applyAlignment="1" applyProtection="1">
      <alignment horizontal="right" vertical="center"/>
      <protection locked="0"/>
    </xf>
    <xf numFmtId="178" fontId="32" fillId="24" borderId="3" xfId="0" applyNumberFormat="1" applyFont="1" applyFill="1" applyBorder="1" applyAlignment="1" applyProtection="1">
      <alignment horizontal="right" vertical="center"/>
      <protection locked="0"/>
    </xf>
    <xf numFmtId="166" fontId="32" fillId="24" borderId="3" xfId="0" applyNumberFormat="1" applyFont="1" applyFill="1" applyBorder="1" applyAlignment="1" applyProtection="1">
      <alignment horizontal="center" vertical="center" wrapText="1"/>
      <protection locked="0"/>
    </xf>
    <xf numFmtId="0" fontId="57" fillId="24" borderId="3" xfId="0" applyFont="1" applyFill="1" applyBorder="1" applyAlignment="1" applyProtection="1">
      <alignment horizontal="center" vertical="center" wrapText="1"/>
      <protection locked="0"/>
    </xf>
    <xf numFmtId="166" fontId="52" fillId="24" borderId="3" xfId="0" applyNumberFormat="1" applyFont="1" applyFill="1" applyBorder="1" applyAlignment="1" applyProtection="1">
      <alignment horizontal="right" vertical="center"/>
      <protection locked="0"/>
    </xf>
    <xf numFmtId="166" fontId="56" fillId="24" borderId="3" xfId="0" applyNumberFormat="1" applyFont="1" applyFill="1" applyBorder="1" applyAlignment="1" applyProtection="1">
      <alignment horizontal="right" vertical="center"/>
      <protection locked="0"/>
    </xf>
    <xf numFmtId="166" fontId="32" fillId="24" borderId="3" xfId="0" applyNumberFormat="1" applyFont="1" applyFill="1" applyBorder="1" applyAlignment="1" applyProtection="1">
      <alignment horizontal="right" vertical="center"/>
      <protection locked="0"/>
    </xf>
    <xf numFmtId="170" fontId="52" fillId="8" borderId="3" xfId="0" applyNumberFormat="1" applyFont="1" applyFill="1" applyBorder="1" applyAlignment="1" applyProtection="1">
      <alignment horizontal="right" vertical="center"/>
      <protection locked="0"/>
    </xf>
    <xf numFmtId="170" fontId="56" fillId="8" borderId="3" xfId="0" applyNumberFormat="1" applyFont="1" applyFill="1" applyBorder="1" applyAlignment="1" applyProtection="1">
      <alignment horizontal="right" vertical="center"/>
      <protection locked="0"/>
    </xf>
    <xf numFmtId="170" fontId="32" fillId="8" borderId="3" xfId="0" applyNumberFormat="1" applyFont="1" applyFill="1" applyBorder="1" applyAlignment="1" applyProtection="1">
      <alignment horizontal="right" vertical="center"/>
      <protection locked="0"/>
    </xf>
    <xf numFmtId="0" fontId="26" fillId="4" borderId="3" xfId="0" applyFont="1" applyFill="1" applyBorder="1" applyAlignment="1" applyProtection="1">
      <alignment horizontal="center" vertical="center" wrapText="1"/>
      <protection locked="0"/>
    </xf>
    <xf numFmtId="0" fontId="71" fillId="8" borderId="3" xfId="0" applyFont="1" applyFill="1" applyBorder="1" applyProtection="1">
      <protection locked="0"/>
    </xf>
    <xf numFmtId="165" fontId="72" fillId="8" borderId="3" xfId="0" applyNumberFormat="1" applyFont="1" applyFill="1" applyBorder="1" applyAlignment="1" applyProtection="1">
      <alignment horizontal="right" vertical="center"/>
      <protection locked="0"/>
    </xf>
    <xf numFmtId="0" fontId="73" fillId="6" borderId="3" xfId="0" applyFont="1" applyFill="1" applyBorder="1" applyProtection="1">
      <protection locked="0"/>
    </xf>
    <xf numFmtId="165" fontId="72" fillId="6" borderId="3" xfId="0" applyNumberFormat="1" applyFont="1" applyFill="1" applyBorder="1" applyAlignment="1" applyProtection="1">
      <alignment horizontal="right" vertical="center"/>
      <protection locked="0"/>
    </xf>
    <xf numFmtId="0" fontId="74" fillId="7" borderId="3" xfId="0" applyFont="1" applyFill="1" applyBorder="1" applyProtection="1">
      <protection locked="0"/>
    </xf>
    <xf numFmtId="165" fontId="72" fillId="7" borderId="3" xfId="0" applyNumberFormat="1" applyFont="1" applyFill="1" applyBorder="1" applyAlignment="1" applyProtection="1">
      <alignment horizontal="right" vertical="center"/>
      <protection locked="0"/>
    </xf>
    <xf numFmtId="0" fontId="75" fillId="9" borderId="3" xfId="0" applyFont="1" applyFill="1" applyBorder="1" applyProtection="1">
      <protection locked="0"/>
    </xf>
    <xf numFmtId="165" fontId="72" fillId="9" borderId="3" xfId="0" applyNumberFormat="1" applyFont="1" applyFill="1" applyBorder="1" applyAlignment="1" applyProtection="1">
      <alignment horizontal="right" vertical="center"/>
      <protection locked="0"/>
    </xf>
    <xf numFmtId="0" fontId="58" fillId="2" borderId="0" xfId="0" applyFont="1" applyFill="1" applyAlignment="1" applyProtection="1">
      <alignment horizontal="center" vertical="center" wrapText="1"/>
    </xf>
    <xf numFmtId="0" fontId="1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 vertical="center" wrapText="1"/>
      <protection locked="0"/>
    </xf>
    <xf numFmtId="0" fontId="5" fillId="4" borderId="0" xfId="0" applyFont="1" applyFill="1" applyAlignment="1" applyProtection="1">
      <alignment horizontal="left" vertical="center" wrapText="1"/>
      <protection locked="0"/>
    </xf>
    <xf numFmtId="0" fontId="6" fillId="5" borderId="0" xfId="0" applyFont="1" applyFill="1" applyAlignment="1" applyProtection="1">
      <alignment horizontal="center" vertical="center" wrapText="1"/>
      <protection locked="0"/>
    </xf>
    <xf numFmtId="0" fontId="7" fillId="6" borderId="1" xfId="0" applyFont="1" applyFill="1" applyBorder="1" applyAlignment="1" applyProtection="1">
      <alignment horizontal="center" vertical="center" wrapText="1"/>
      <protection locked="0"/>
    </xf>
    <xf numFmtId="0" fontId="8" fillId="6" borderId="1" xfId="0" applyFont="1" applyFill="1" applyBorder="1" applyAlignment="1" applyProtection="1">
      <alignment horizontal="left" vertical="center" wrapText="1"/>
      <protection locked="0"/>
    </xf>
    <xf numFmtId="0" fontId="9" fillId="7" borderId="1" xfId="0" applyFont="1" applyFill="1" applyBorder="1" applyAlignment="1" applyProtection="1">
      <alignment horizontal="center" vertical="center" wrapText="1"/>
      <protection locked="0"/>
    </xf>
    <xf numFmtId="0" fontId="8" fillId="7" borderId="1" xfId="0" applyFont="1" applyFill="1" applyBorder="1" applyAlignment="1" applyProtection="1">
      <alignment horizontal="left" vertical="center" wrapText="1"/>
      <protection locked="0"/>
    </xf>
    <xf numFmtId="0" fontId="10" fillId="8" borderId="1" xfId="0" applyFont="1" applyFill="1" applyBorder="1" applyAlignment="1" applyProtection="1">
      <alignment horizontal="center" vertical="center" wrapText="1"/>
      <protection locked="0"/>
    </xf>
    <xf numFmtId="0" fontId="8" fillId="8" borderId="1" xfId="0" applyFont="1" applyFill="1" applyBorder="1" applyAlignment="1" applyProtection="1">
      <alignment horizontal="left" vertical="center" wrapText="1"/>
      <protection locked="0"/>
    </xf>
    <xf numFmtId="0" fontId="11" fillId="9" borderId="1" xfId="0" applyFont="1" applyFill="1" applyBorder="1" applyAlignment="1" applyProtection="1">
      <alignment horizontal="center" vertical="center" wrapText="1"/>
      <protection locked="0"/>
    </xf>
    <xf numFmtId="0" fontId="8" fillId="9" borderId="1" xfId="0" applyFont="1" applyFill="1" applyBorder="1" applyAlignment="1" applyProtection="1">
      <alignment horizontal="left" vertical="center" wrapText="1"/>
      <protection locked="0"/>
    </xf>
    <xf numFmtId="0" fontId="12" fillId="10" borderId="1" xfId="0" applyFont="1" applyFill="1" applyBorder="1" applyAlignment="1" applyProtection="1">
      <alignment horizontal="center" vertical="center" wrapText="1"/>
      <protection locked="0"/>
    </xf>
    <xf numFmtId="0" fontId="8" fillId="10" borderId="1" xfId="0" applyFont="1" applyFill="1" applyBorder="1" applyAlignment="1" applyProtection="1">
      <alignment horizontal="left" vertical="center" wrapText="1"/>
      <protection locked="0"/>
    </xf>
    <xf numFmtId="0" fontId="13" fillId="8" borderId="1" xfId="0" applyFont="1" applyFill="1" applyBorder="1" applyAlignment="1" applyProtection="1">
      <alignment horizontal="center" vertical="center" wrapText="1"/>
      <protection locked="0"/>
    </xf>
    <xf numFmtId="0" fontId="14" fillId="6" borderId="1" xfId="0" applyFont="1" applyFill="1" applyBorder="1" applyAlignment="1" applyProtection="1">
      <alignment horizontal="center" vertical="center" wrapText="1"/>
      <protection locked="0"/>
    </xf>
    <xf numFmtId="0" fontId="15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 wrapText="1"/>
    </xf>
  </cellXfs>
  <cellStyles count="1">
    <cellStyle name="Normal" xfId="0" builtinId="0"/>
  </cellStyles>
  <dxfs count="7">
    <dxf>
      <font>
        <b/>
        <color rgb="FF922B21"/>
      </font>
      <fill>
        <patternFill>
          <bgColor rgb="FFFDEDEC"/>
        </patternFill>
      </fill>
    </dxf>
    <dxf>
      <font>
        <b/>
        <color rgb="FF922B21"/>
      </font>
      <fill>
        <patternFill>
          <bgColor rgb="FFFDEDEC"/>
        </patternFill>
      </fill>
    </dxf>
    <dxf>
      <font>
        <b/>
        <color rgb="FF117A65"/>
      </font>
      <fill>
        <patternFill>
          <bgColor rgb="FFD5F5E3"/>
        </patternFill>
      </fill>
    </dxf>
    <dxf>
      <font>
        <b/>
        <color rgb="FF117A65"/>
      </font>
      <fill>
        <patternFill>
          <bgColor rgb="FFD5F5E3"/>
        </patternFill>
      </fill>
    </dxf>
    <dxf>
      <font>
        <b/>
        <color rgb="FF922B21"/>
      </font>
      <fill>
        <patternFill>
          <bgColor rgb="FFFDEDEC"/>
        </patternFill>
      </fill>
    </dxf>
    <dxf>
      <font>
        <color rgb="FF922B21"/>
      </font>
      <fill>
        <patternFill>
          <bgColor rgb="FFFDEDEC"/>
        </patternFill>
      </fill>
    </dxf>
    <dxf>
      <font>
        <color rgb="FF117A65"/>
      </font>
      <fill>
        <patternFill>
          <bgColor rgb="FFD5F5E3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7D6608"/>
      <rgbColor rgb="FF006400"/>
      <rgbColor rgb="FF0000FF"/>
      <rgbColor rgb="FFB4CC90"/>
      <rgbColor rgb="FFF5EEF8"/>
      <rgbColor rgb="FFA9DFBF"/>
      <rgbColor rgb="FF922B21"/>
      <rgbColor rgb="FF008000"/>
      <rgbColor rgb="FF0A1628"/>
      <rgbColor rgb="FF9A7D0A"/>
      <rgbColor rgb="FF735991"/>
      <rgbColor rgb="FF117A65"/>
      <rgbColor rgb="FFBDC3C7"/>
      <rgbColor rgb="FF878787"/>
      <rgbColor rgb="FF8CB7D2"/>
      <rgbColor rgb="FFAE4742"/>
      <rgbColor rgb="FFFCF3CF"/>
      <rgbColor rgb="FFD6EAF8"/>
      <rgbColor rgb="FF6C3483"/>
      <rgbColor rgb="FFF08C40"/>
      <rgbColor rgb="FF1A5276"/>
      <rgbColor rgb="FFD9D9D9"/>
      <rgbColor rgb="FF0B5345"/>
      <rgbColor rgb="FFF9F9F9"/>
      <rgbColor rgb="FFFDEDEC"/>
      <rgbColor rgb="FFF2F3F4"/>
      <rgbColor rgb="FF984807"/>
      <rgbColor rgb="FF784212"/>
      <rgbColor rgb="FF0E6655"/>
      <rgbColor rgb="FF155A40"/>
      <rgbColor rgb="FF2E86C1"/>
      <rgbColor rgb="FFEAFAF1"/>
      <rgbColor rgb="FFD5F5E3"/>
      <rgbColor rgb="FFFAE5D3"/>
      <rgbColor rgb="FFAED6F1"/>
      <rgbColor rgb="FFCF8D8C"/>
      <rgbColor rgb="FFDAB9DB"/>
      <rgbColor rgb="FFF9BE98"/>
      <rgbColor rgb="FF4473AA"/>
      <rgbColor rgb="FF45A1BD"/>
      <rgbColor rgb="FF8BA850"/>
      <rgbColor rgb="FFC4D69D"/>
      <rgbColor rgb="FFD4AC0D"/>
      <rgbColor rgb="FFCA6F1E"/>
      <rgbColor rgb="FF5D6D7E"/>
      <rgbColor rgb="FFAFA9B9"/>
      <rgbColor rgb="FF1B4F72"/>
      <rgbColor rgb="FF1E8449"/>
      <rgbColor rgb="FF0D1F30"/>
      <rgbColor rgb="FF0D1B2A"/>
      <rgbColor rgb="FFA04000"/>
      <rgbColor rgb="FF7D3C98"/>
      <rgbColor rgb="FF5B2C6F"/>
      <rgbColor rgb="FF2C3E5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Monthly Revenue by Line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Revenue</c:v>
          </c:tx>
          <c:spPr>
            <a:solidFill>
              <a:srgbClr val="4672A8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REVENUE'!$C$12</c:f>
              <c:numCache>
                <c:formatCode>\₹#,##0;"(₹"#,##0\);\-</c:formatCode>
                <c:ptCount val="1"/>
                <c:pt idx="0">
                  <c:v>3984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FB-450B-8051-44CABBA84196}"/>
            </c:ext>
          </c:extLst>
        </c:ser>
        <c:ser>
          <c:idx val="1"/>
          <c:order val="1"/>
          <c:spPr>
            <a:solidFill>
              <a:srgbClr val="AB4744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REVENUE'!$D$12</c:f>
              <c:numCache>
                <c:formatCode>\₹#,##0;"(₹"#,##0\);\-</c:formatCode>
                <c:ptCount val="1"/>
                <c:pt idx="0">
                  <c:v>3783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FB-450B-8051-44CABBA84196}"/>
            </c:ext>
          </c:extLst>
        </c:ser>
        <c:ser>
          <c:idx val="2"/>
          <c:order val="2"/>
          <c:spPr>
            <a:solidFill>
              <a:srgbClr val="8AA64F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REVENUE'!$E$12</c:f>
              <c:numCache>
                <c:formatCode>\₹#,##0;"(₹"#,##0\);\-</c:formatCode>
                <c:ptCount val="1"/>
                <c:pt idx="0">
                  <c:v>3344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FB-450B-8051-44CABBA84196}"/>
            </c:ext>
          </c:extLst>
        </c:ser>
        <c:ser>
          <c:idx val="3"/>
          <c:order val="3"/>
          <c:spPr>
            <a:solidFill>
              <a:srgbClr val="725990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REVENUE'!$F$12</c:f>
              <c:numCache>
                <c:formatCode>\₹#,##0;"(₹"#,##0\);\-</c:formatCode>
                <c:ptCount val="1"/>
                <c:pt idx="0">
                  <c:v>4062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FB-450B-8051-44CABBA84196}"/>
            </c:ext>
          </c:extLst>
        </c:ser>
        <c:ser>
          <c:idx val="4"/>
          <c:order val="4"/>
          <c:spPr>
            <a:solidFill>
              <a:srgbClr val="4299B0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REVENUE'!$G$12</c:f>
              <c:numCache>
                <c:formatCode>\₹#,##0;"(₹"#,##0\);\-</c:formatCode>
                <c:ptCount val="1"/>
                <c:pt idx="0">
                  <c:v>3866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7FB-450B-8051-44CABBA84196}"/>
            </c:ext>
          </c:extLst>
        </c:ser>
        <c:ser>
          <c:idx val="5"/>
          <c:order val="5"/>
          <c:spPr>
            <a:solidFill>
              <a:srgbClr val="DC853E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REVENUE'!$H$12</c:f>
              <c:numCache>
                <c:formatCode>\₹#,##0;"(₹"#,##0\);\-</c:formatCode>
                <c:ptCount val="1"/>
                <c:pt idx="0">
                  <c:v>3501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7FB-450B-8051-44CABBA84196}"/>
            </c:ext>
          </c:extLst>
        </c:ser>
        <c:ser>
          <c:idx val="6"/>
          <c:order val="6"/>
          <c:spPr>
            <a:solidFill>
              <a:srgbClr val="93A9CE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REVENUE'!$I$12</c:f>
              <c:numCache>
                <c:formatCode>\₹#,##0;"(₹"#,##0\);\-</c:formatCode>
                <c:ptCount val="1"/>
                <c:pt idx="0">
                  <c:v>3884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7FB-450B-8051-44CABBA84196}"/>
            </c:ext>
          </c:extLst>
        </c:ser>
        <c:ser>
          <c:idx val="7"/>
          <c:order val="7"/>
          <c:spPr>
            <a:solidFill>
              <a:srgbClr val="D09493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REVENUE'!$J$12</c:f>
              <c:numCache>
                <c:formatCode>\₹#,##0;"(₹"#,##0\);\-</c:formatCode>
                <c:ptCount val="1"/>
                <c:pt idx="0">
                  <c:v>4081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7FB-450B-8051-44CABBA84196}"/>
            </c:ext>
          </c:extLst>
        </c:ser>
        <c:ser>
          <c:idx val="8"/>
          <c:order val="8"/>
          <c:spPr>
            <a:solidFill>
              <a:srgbClr val="B8CD97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REVENUE'!$K$12</c:f>
              <c:numCache>
                <c:formatCode>\₹#,##0;"(₹"#,##0\);\-</c:formatCode>
                <c:ptCount val="1"/>
                <c:pt idx="0">
                  <c:v>3976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7FB-450B-8051-44CABBA84196}"/>
            </c:ext>
          </c:extLst>
        </c:ser>
        <c:ser>
          <c:idx val="9"/>
          <c:order val="9"/>
          <c:spPr>
            <a:solidFill>
              <a:srgbClr val="A99B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REVENUE'!$L$12</c:f>
              <c:numCache>
                <c:formatCode>\₹#,##0;"(₹"#,##0\);\-</c:formatCode>
                <c:ptCount val="1"/>
                <c:pt idx="0">
                  <c:v>3767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7FB-450B-8051-44CABBA84196}"/>
            </c:ext>
          </c:extLst>
        </c:ser>
        <c:ser>
          <c:idx val="10"/>
          <c:order val="10"/>
          <c:spPr>
            <a:solidFill>
              <a:srgbClr val="92C3D5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REVENUE'!$M$12</c:f>
              <c:numCache>
                <c:formatCode>\₹#,##0;"(₹"#,##0\);\-</c:formatCode>
                <c:ptCount val="1"/>
                <c:pt idx="0">
                  <c:v>3929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7FB-450B-8051-44CABBA84196}"/>
            </c:ext>
          </c:extLst>
        </c:ser>
        <c:ser>
          <c:idx val="11"/>
          <c:order val="11"/>
          <c:spPr>
            <a:solidFill>
              <a:srgbClr val="F8B590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'📦 SALES &amp; REVENUE'!$C$3:$N$3</c:f>
              <c:strCache>
                <c:ptCount val="12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  <c:pt idx="6">
                  <c:v>Oct</c:v>
                </c:pt>
                <c:pt idx="7">
                  <c:v>Nov</c:v>
                </c:pt>
                <c:pt idx="8">
                  <c:v>Dec</c:v>
                </c:pt>
                <c:pt idx="9">
                  <c:v>Jan</c:v>
                </c:pt>
                <c:pt idx="10">
                  <c:v>Feb</c:v>
                </c:pt>
                <c:pt idx="11">
                  <c:v>Mar</c:v>
                </c:pt>
              </c:strCache>
            </c:strRef>
          </c:cat>
          <c:val>
            <c:numRef>
              <c:f>'📦 SALES &amp; REVENUE'!$N$12</c:f>
              <c:numCache>
                <c:formatCode>\₹#,##0;"(₹"#,##0\);\-</c:formatCode>
                <c:ptCount val="1"/>
                <c:pt idx="0">
                  <c:v>5714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FB-450B-8051-44CABBA841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82135"/>
        <c:axId val="42389433"/>
      </c:barChart>
      <c:catAx>
        <c:axId val="25182135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lang="en-US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Month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42389433"/>
        <c:crosses val="autoZero"/>
        <c:auto val="1"/>
        <c:lblAlgn val="ctr"/>
        <c:lblOffset val="100"/>
        <c:noMultiLvlLbl val="0"/>
      </c:catAx>
      <c:valAx>
        <c:axId val="4238943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₹'000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₹#,##0;&quot;(₹&quot;#,##0\);\-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5182135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Revenue vs Net Profit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672A8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DASHBOARD'!$C$10</c:f>
              <c:numCache>
                <c:formatCode>\₹#,##0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0-78AE-4D18-896E-F7116C69C459}"/>
            </c:ext>
          </c:extLst>
        </c:ser>
        <c:ser>
          <c:idx val="1"/>
          <c:order val="1"/>
          <c:spPr>
            <a:solidFill>
              <a:srgbClr val="AB4744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DASHBOARD'!$D$10</c:f>
              <c:numCache>
                <c:formatCode>\₹#,##0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1-78AE-4D18-896E-F7116C69C459}"/>
            </c:ext>
          </c:extLst>
        </c:ser>
        <c:ser>
          <c:idx val="2"/>
          <c:order val="2"/>
          <c:spPr>
            <a:solidFill>
              <a:srgbClr val="8AA64F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DASHBOARD'!$E$10</c:f>
              <c:numCache>
                <c:formatCode>\₹#,##0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2-78AE-4D18-896E-F7116C69C459}"/>
            </c:ext>
          </c:extLst>
        </c:ser>
        <c:ser>
          <c:idx val="3"/>
          <c:order val="3"/>
          <c:spPr>
            <a:solidFill>
              <a:srgbClr val="725990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DASHBOARD'!$F$10</c:f>
              <c:numCache>
                <c:formatCode>\₹#,##0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3-78AE-4D18-896E-F7116C69C459}"/>
            </c:ext>
          </c:extLst>
        </c:ser>
        <c:ser>
          <c:idx val="4"/>
          <c:order val="4"/>
          <c:spPr>
            <a:solidFill>
              <a:srgbClr val="4299B0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DASHBOARD'!$G$10</c:f>
              <c:numCache>
                <c:formatCode>\₹#,##0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4-78AE-4D18-896E-F7116C69C459}"/>
            </c:ext>
          </c:extLst>
        </c:ser>
        <c:ser>
          <c:idx val="5"/>
          <c:order val="5"/>
          <c:spPr>
            <a:solidFill>
              <a:srgbClr val="DC853E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DASHBOARD'!$H$10</c:f>
              <c:numCache>
                <c:formatCode>\₹#,##0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5-78AE-4D18-896E-F7116C69C459}"/>
            </c:ext>
          </c:extLst>
        </c:ser>
        <c:ser>
          <c:idx val="6"/>
          <c:order val="6"/>
          <c:spPr>
            <a:solidFill>
              <a:srgbClr val="93A9CE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DASHBOARD'!$C$12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6-78AE-4D18-896E-F7116C69C459}"/>
            </c:ext>
          </c:extLst>
        </c:ser>
        <c:ser>
          <c:idx val="7"/>
          <c:order val="7"/>
          <c:spPr>
            <a:solidFill>
              <a:srgbClr val="D09493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DASHBOARD'!$D$12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7-78AE-4D18-896E-F7116C69C459}"/>
            </c:ext>
          </c:extLst>
        </c:ser>
        <c:ser>
          <c:idx val="8"/>
          <c:order val="8"/>
          <c:spPr>
            <a:solidFill>
              <a:srgbClr val="B8CD97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DASHBOARD'!$E$12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8-78AE-4D18-896E-F7116C69C459}"/>
            </c:ext>
          </c:extLst>
        </c:ser>
        <c:ser>
          <c:idx val="9"/>
          <c:order val="9"/>
          <c:spPr>
            <a:solidFill>
              <a:srgbClr val="A99B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DASHBOARD'!$F$12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9-78AE-4D18-896E-F7116C69C459}"/>
            </c:ext>
          </c:extLst>
        </c:ser>
        <c:ser>
          <c:idx val="10"/>
          <c:order val="10"/>
          <c:spPr>
            <a:solidFill>
              <a:srgbClr val="92C3D5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DASHBOARD'!$G$12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A-78AE-4D18-896E-F7116C69C459}"/>
            </c:ext>
          </c:extLst>
        </c:ser>
        <c:ser>
          <c:idx val="11"/>
          <c:order val="11"/>
          <c:spPr>
            <a:solidFill>
              <a:srgbClr val="F8B590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DASHBOARD'!$H$12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B-78AE-4D18-896E-F7116C69C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964320"/>
        <c:axId val="83596480"/>
      </c:barChart>
      <c:catAx>
        <c:axId val="2396432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83596480"/>
        <c:crosses val="autoZero"/>
        <c:auto val="1"/>
        <c:lblAlgn val="ctr"/>
        <c:lblOffset val="100"/>
        <c:noMultiLvlLbl val="0"/>
      </c:catAx>
      <c:valAx>
        <c:axId val="8359648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₹'000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₹#,##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3964320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EBITDA Margin Trend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EBITDA %</c:v>
          </c:tx>
          <c:spPr>
            <a:ln w="2844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DASHBOARD'!$C$13</c:f>
              <c:numCache>
                <c:formatCode>0.0%</c:formatCode>
                <c:ptCount val="1"/>
                <c:pt idx="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553-474C-97C0-5E5E0D207D4E}"/>
            </c:ext>
          </c:extLst>
        </c:ser>
        <c:ser>
          <c:idx val="1"/>
          <c:order val="1"/>
          <c:spPr>
            <a:ln w="28440">
              <a:solidFill>
                <a:srgbClr val="BE4B48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DASHBOARD'!$D$13</c:f>
              <c:numCache>
                <c:formatCode>0.0%</c:formatCode>
                <c:ptCount val="1"/>
                <c:pt idx="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5553-474C-97C0-5E5E0D207D4E}"/>
            </c:ext>
          </c:extLst>
        </c:ser>
        <c:ser>
          <c:idx val="2"/>
          <c:order val="2"/>
          <c:spPr>
            <a:ln w="28440">
              <a:solidFill>
                <a:srgbClr val="98B855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DASHBOARD'!$E$13</c:f>
              <c:numCache>
                <c:formatCode>0.0%</c:formatCode>
                <c:ptCount val="1"/>
                <c:pt idx="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5553-474C-97C0-5E5E0D207D4E}"/>
            </c:ext>
          </c:extLst>
        </c:ser>
        <c:ser>
          <c:idx val="3"/>
          <c:order val="3"/>
          <c:spPr>
            <a:ln w="28440">
              <a:solidFill>
                <a:srgbClr val="7D5FA0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DASHBOARD'!$F$13</c:f>
              <c:numCache>
                <c:formatCode>0.0%</c:formatCode>
                <c:ptCount val="1"/>
                <c:pt idx="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5553-474C-97C0-5E5E0D207D4E}"/>
            </c:ext>
          </c:extLst>
        </c:ser>
        <c:ser>
          <c:idx val="4"/>
          <c:order val="4"/>
          <c:spPr>
            <a:ln w="28440">
              <a:solidFill>
                <a:srgbClr val="46AAC4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DASHBOARD'!$G$13</c:f>
              <c:numCache>
                <c:formatCode>0.0%</c:formatCode>
                <c:ptCount val="1"/>
                <c:pt idx="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4-5553-474C-97C0-5E5E0D207D4E}"/>
            </c:ext>
          </c:extLst>
        </c:ser>
        <c:ser>
          <c:idx val="5"/>
          <c:order val="5"/>
          <c:spPr>
            <a:ln w="28440">
              <a:solidFill>
                <a:srgbClr val="F59240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'🖥 DASHBOARD'!$C$9:$H$9</c:f>
              <c:numCache>
                <c:formatCode>0.0%</c:formatCode>
                <c:ptCount val="6"/>
                <c:pt idx="0">
                  <c:v>1.3650682534126707E-2</c:v>
                </c:pt>
                <c:pt idx="1">
                  <c:v>6.7553377668883446E-2</c:v>
                </c:pt>
                <c:pt idx="2" formatCode="0.0&quot; d&quot;">
                  <c:v>0.42527126356317813</c:v>
                </c:pt>
                <c:pt idx="3" formatCode="0.0&quot; d&quot;">
                  <c:v>26.666666666666664</c:v>
                </c:pt>
                <c:pt idx="4" formatCode="0.0&quot; d&quot;">
                  <c:v>7.0919379302298466</c:v>
                </c:pt>
                <c:pt idx="5" formatCode="0.0\x">
                  <c:v>74530.434782608689</c:v>
                </c:pt>
              </c:numCache>
            </c:numRef>
          </c:cat>
          <c:val>
            <c:numRef>
              <c:f>'🖥 DASHBOARD'!$H$13</c:f>
              <c:numCache>
                <c:formatCode>0.0%</c:formatCode>
                <c:ptCount val="1"/>
                <c:pt idx="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5-5553-474C-97C0-5E5E0D207D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65848050"/>
        <c:axId val="17421641"/>
      </c:lineChart>
      <c:catAx>
        <c:axId val="6584805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7421641"/>
        <c:crosses val="autoZero"/>
        <c:auto val="1"/>
        <c:lblAlgn val="ctr"/>
        <c:lblOffset val="100"/>
        <c:noMultiLvlLbl val="0"/>
      </c:catAx>
      <c:valAx>
        <c:axId val="17421641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%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%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65848050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Revenue vs EBITDA vs Net Profit  (₹'000)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16A9C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DASHBOARD'!$C$14</c:f>
              <c:numCache>
                <c:formatCode>\₹#,##0;"(₹"#,##0\);\-</c:formatCode>
                <c:ptCount val="1"/>
                <c:pt idx="0">
                  <c:v>3984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6E-4C84-AC57-6B6C0E7DCFD7}"/>
            </c:ext>
          </c:extLst>
        </c:ser>
        <c:ser>
          <c:idx val="1"/>
          <c:order val="1"/>
          <c:spPr>
            <a:solidFill>
              <a:srgbClr val="9F423F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DASHBOARD'!$D$14</c:f>
              <c:numCache>
                <c:formatCode>\₹#,##0;"(₹"#,##0\);\-</c:formatCode>
                <c:ptCount val="1"/>
                <c:pt idx="0">
                  <c:v>3783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6E-4C84-AC57-6B6C0E7DCFD7}"/>
            </c:ext>
          </c:extLst>
        </c:ser>
        <c:ser>
          <c:idx val="2"/>
          <c:order val="2"/>
          <c:spPr>
            <a:solidFill>
              <a:srgbClr val="809B49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DASHBOARD'!$E$14</c:f>
              <c:numCache>
                <c:formatCode>\₹#,##0;"(₹"#,##0\);\-</c:formatCode>
                <c:ptCount val="1"/>
                <c:pt idx="0">
                  <c:v>3344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26E-4C84-AC57-6B6C0E7DCFD7}"/>
            </c:ext>
          </c:extLst>
        </c:ser>
        <c:ser>
          <c:idx val="3"/>
          <c:order val="3"/>
          <c:spPr>
            <a:solidFill>
              <a:srgbClr val="6A5286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DASHBOARD'!$F$14</c:f>
              <c:numCache>
                <c:formatCode>\₹#,##0;"(₹"#,##0\);\-</c:formatCode>
                <c:ptCount val="1"/>
                <c:pt idx="0">
                  <c:v>4062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26E-4C84-AC57-6B6C0E7DCFD7}"/>
            </c:ext>
          </c:extLst>
        </c:ser>
        <c:ser>
          <c:idx val="4"/>
          <c:order val="4"/>
          <c:spPr>
            <a:solidFill>
              <a:srgbClr val="3E8EA4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DASHBOARD'!$G$14</c:f>
              <c:numCache>
                <c:formatCode>\₹#,##0;"(₹"#,##0\);\-</c:formatCode>
                <c:ptCount val="1"/>
                <c:pt idx="0">
                  <c:v>3866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26E-4C84-AC57-6B6C0E7DCFD7}"/>
            </c:ext>
          </c:extLst>
        </c:ser>
        <c:ser>
          <c:idx val="5"/>
          <c:order val="5"/>
          <c:spPr>
            <a:solidFill>
              <a:srgbClr val="CC7C3A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DASHBOARD'!$H$14</c:f>
              <c:numCache>
                <c:formatCode>\₹#,##0;"(₹"#,##0\);\-</c:formatCode>
                <c:ptCount val="1"/>
                <c:pt idx="0">
                  <c:v>3501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26E-4C84-AC57-6B6C0E7DCFD7}"/>
            </c:ext>
          </c:extLst>
        </c:ser>
        <c:ser>
          <c:idx val="6"/>
          <c:order val="6"/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DASHBOARD'!$C$16</c:f>
              <c:numCache>
                <c:formatCode>\₹#,##0;"(₹"#,##0\);\-</c:formatCode>
                <c:ptCount val="1"/>
                <c:pt idx="0">
                  <c:v>3520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26E-4C84-AC57-6B6C0E7DCFD7}"/>
            </c:ext>
          </c:extLst>
        </c:ser>
        <c:ser>
          <c:idx val="7"/>
          <c:order val="7"/>
          <c:spPr>
            <a:solidFill>
              <a:srgbClr val="C0504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DASHBOARD'!$D$16</c:f>
              <c:numCache>
                <c:formatCode>\₹#,##0;"(₹"#,##0\);\-</c:formatCode>
                <c:ptCount val="1"/>
                <c:pt idx="0">
                  <c:v>3345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26E-4C84-AC57-6B6C0E7DCFD7}"/>
            </c:ext>
          </c:extLst>
        </c:ser>
        <c:ser>
          <c:idx val="8"/>
          <c:order val="8"/>
          <c:spPr>
            <a:solidFill>
              <a:srgbClr val="9BBB59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DASHBOARD'!$E$16</c:f>
              <c:numCache>
                <c:formatCode>\₹#,##0;"(₹"#,##0\);\-</c:formatCode>
                <c:ptCount val="1"/>
                <c:pt idx="0">
                  <c:v>2968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26E-4C84-AC57-6B6C0E7DCFD7}"/>
            </c:ext>
          </c:extLst>
        </c:ser>
        <c:ser>
          <c:idx val="9"/>
          <c:order val="9"/>
          <c:spPr>
            <a:solidFill>
              <a:srgbClr val="8064A2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DASHBOARD'!$F$16</c:f>
              <c:numCache>
                <c:formatCode>\₹#,##0;"(₹"#,##0\);\-</c:formatCode>
                <c:ptCount val="1"/>
                <c:pt idx="0">
                  <c:v>3579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26E-4C84-AC57-6B6C0E7DCFD7}"/>
            </c:ext>
          </c:extLst>
        </c:ser>
        <c:ser>
          <c:idx val="10"/>
          <c:order val="10"/>
          <c:spPr>
            <a:solidFill>
              <a:srgbClr val="4BACC6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DASHBOARD'!$G$16</c:f>
              <c:numCache>
                <c:formatCode>\₹#,##0;"(₹"#,##0\);\-</c:formatCode>
                <c:ptCount val="1"/>
                <c:pt idx="0">
                  <c:v>3428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26E-4C84-AC57-6B6C0E7DCFD7}"/>
            </c:ext>
          </c:extLst>
        </c:ser>
        <c:ser>
          <c:idx val="11"/>
          <c:order val="11"/>
          <c:spPr>
            <a:solidFill>
              <a:srgbClr val="F79646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DASHBOARD'!$H$16</c:f>
              <c:numCache>
                <c:formatCode>\₹#,##0;"(₹"#,##0\);\-</c:formatCode>
                <c:ptCount val="1"/>
                <c:pt idx="0">
                  <c:v>3052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26E-4C84-AC57-6B6C0E7DCFD7}"/>
            </c:ext>
          </c:extLst>
        </c:ser>
        <c:ser>
          <c:idx val="12"/>
          <c:order val="12"/>
          <c:spPr>
            <a:solidFill>
              <a:srgbClr val="AABAD7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DASHBOARD'!$C$19</c:f>
              <c:numCache>
                <c:formatCode>\₹#,##0;"(₹"#,##0\);\-</c:formatCode>
                <c:ptCount val="1"/>
                <c:pt idx="0">
                  <c:v>2547.75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26E-4C84-AC57-6B6C0E7DCFD7}"/>
            </c:ext>
          </c:extLst>
        </c:ser>
        <c:ser>
          <c:idx val="13"/>
          <c:order val="13"/>
          <c:spPr>
            <a:solidFill>
              <a:srgbClr val="D8AAA9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DASHBOARD'!$D$19</c:f>
              <c:numCache>
                <c:formatCode>\₹#,##0;"(₹"#,##0\);\-</c:formatCode>
                <c:ptCount val="1"/>
                <c:pt idx="0">
                  <c:v>2418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C26E-4C84-AC57-6B6C0E7DCFD7}"/>
            </c:ext>
          </c:extLst>
        </c:ser>
        <c:ser>
          <c:idx val="14"/>
          <c:order val="14"/>
          <c:spPr>
            <a:solidFill>
              <a:srgbClr val="C5D6AC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DASHBOARD'!$E$19</c:f>
              <c:numCache>
                <c:formatCode>\₹#,##0;"(₹"#,##0\);\-</c:formatCode>
                <c:ptCount val="1"/>
                <c:pt idx="0">
                  <c:v>2151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C26E-4C84-AC57-6B6C0E7DCFD7}"/>
            </c:ext>
          </c:extLst>
        </c:ser>
        <c:ser>
          <c:idx val="15"/>
          <c:order val="15"/>
          <c:spPr>
            <a:solidFill>
              <a:srgbClr val="B9AFC9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DASHBOARD'!$F$19</c:f>
              <c:numCache>
                <c:formatCode>\₹#,##0;"(₹"#,##0\);\-</c:formatCode>
                <c:ptCount val="1"/>
                <c:pt idx="0">
                  <c:v>2591.25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C26E-4C84-AC57-6B6C0E7DCFD7}"/>
            </c:ext>
          </c:extLst>
        </c:ser>
        <c:ser>
          <c:idx val="16"/>
          <c:order val="16"/>
          <c:spPr>
            <a:solidFill>
              <a:srgbClr val="A9CEDC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DASHBOARD'!$G$19</c:f>
              <c:numCache>
                <c:formatCode>\₹#,##0;"(₹"#,##0\);\-</c:formatCode>
                <c:ptCount val="1"/>
                <c:pt idx="0">
                  <c:v>2495.25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C26E-4C84-AC57-6B6C0E7DCFD7}"/>
            </c:ext>
          </c:extLst>
        </c:ser>
        <c:ser>
          <c:idx val="17"/>
          <c:order val="17"/>
          <c:spPr>
            <a:solidFill>
              <a:srgbClr val="F9C3A8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DASHBOARD'!$H$19</c:f>
              <c:numCache>
                <c:formatCode>\₹#,##0;"(₹"#,##0\);\-</c:formatCode>
                <c:ptCount val="1"/>
                <c:pt idx="0">
                  <c:v>2190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C26E-4C84-AC57-6B6C0E7DCF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4526253"/>
        <c:axId val="54082297"/>
      </c:barChart>
      <c:catAx>
        <c:axId val="74526253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54082297"/>
        <c:crosses val="autoZero"/>
        <c:auto val="1"/>
        <c:lblAlgn val="ctr"/>
        <c:lblOffset val="100"/>
        <c:noMultiLvlLbl val="0"/>
      </c:catAx>
      <c:valAx>
        <c:axId val="54082297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₹'000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₹#,##0;&quot;(₹&quot;#,##0\);\-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74526253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Operating Cash Flow vs Free Cash Flow  (₹'000)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DASHBOARD'!$C$17</c:f>
              <c:numCache>
                <c:formatCode>\₹#,##0;"(₹"#,##0\);\-</c:formatCode>
                <c:ptCount val="1"/>
                <c:pt idx="0">
                  <c:v>-102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B43-4280-A9E7-D85E7A031D7E}"/>
            </c:ext>
          </c:extLst>
        </c:ser>
        <c:ser>
          <c:idx val="1"/>
          <c:order val="1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DASHBOARD'!$D$17</c:f>
              <c:numCache>
                <c:formatCode>\₹#,##0;"(₹"#,##0\);\-</c:formatCode>
                <c:ptCount val="1"/>
                <c:pt idx="0">
                  <c:v>-89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B43-4280-A9E7-D85E7A031D7E}"/>
            </c:ext>
          </c:extLst>
        </c:ser>
        <c:ser>
          <c:idx val="2"/>
          <c:order val="2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DASHBOARD'!$E$17</c:f>
              <c:numCache>
                <c:formatCode>\₹#,##0;"(₹"#,##0\);\-</c:formatCode>
                <c:ptCount val="1"/>
                <c:pt idx="0">
                  <c:v>-88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2B43-4280-A9E7-D85E7A031D7E}"/>
            </c:ext>
          </c:extLst>
        </c:ser>
        <c:ser>
          <c:idx val="3"/>
          <c:order val="3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DASHBOARD'!$F$17</c:f>
              <c:numCache>
                <c:formatCode>\₹#,##0;"(₹"#,##0\);\-</c:formatCode>
                <c:ptCount val="1"/>
                <c:pt idx="0">
                  <c:v>-93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2B43-4280-A9E7-D85E7A031D7E}"/>
            </c:ext>
          </c:extLst>
        </c:ser>
        <c:ser>
          <c:idx val="4"/>
          <c:order val="4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DASHBOARD'!$G$17</c:f>
              <c:numCache>
                <c:formatCode>\₹#,##0;"(₹"#,##0\);\-</c:formatCode>
                <c:ptCount val="1"/>
                <c:pt idx="0">
                  <c:v>-104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4-2B43-4280-A9E7-D85E7A031D7E}"/>
            </c:ext>
          </c:extLst>
        </c:ser>
        <c:ser>
          <c:idx val="5"/>
          <c:order val="5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DASHBOARD'!$H$17</c:f>
              <c:numCache>
                <c:formatCode>\₹#,##0;"(₹"#,##0\);\-</c:formatCode>
                <c:ptCount val="1"/>
                <c:pt idx="0">
                  <c:v>-83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5-2B43-4280-A9E7-D85E7A031D7E}"/>
            </c:ext>
          </c:extLst>
        </c:ser>
        <c:ser>
          <c:idx val="6"/>
          <c:order val="6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DASHBOARD'!$C$18</c:f>
              <c:numCache>
                <c:formatCode>\₹#,##0;"(₹"#,##0\);\-</c:formatCode>
                <c:ptCount val="1"/>
                <c:pt idx="0">
                  <c:v>-197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6-2B43-4280-A9E7-D85E7A031D7E}"/>
            </c:ext>
          </c:extLst>
        </c:ser>
        <c:ser>
          <c:idx val="7"/>
          <c:order val="7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DASHBOARD'!$D$18</c:f>
              <c:numCache>
                <c:formatCode>\₹#,##0;"(₹"#,##0\);\-</c:formatCode>
                <c:ptCount val="1"/>
                <c:pt idx="0">
                  <c:v>-172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7-2B43-4280-A9E7-D85E7A031D7E}"/>
            </c:ext>
          </c:extLst>
        </c:ser>
        <c:ser>
          <c:idx val="8"/>
          <c:order val="8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DASHBOARD'!$E$18</c:f>
              <c:numCache>
                <c:formatCode>\₹#,##0;"(₹"#,##0\);\-</c:formatCode>
                <c:ptCount val="1"/>
                <c:pt idx="0">
                  <c:v>-185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8-2B43-4280-A9E7-D85E7A031D7E}"/>
            </c:ext>
          </c:extLst>
        </c:ser>
        <c:ser>
          <c:idx val="9"/>
          <c:order val="9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DASHBOARD'!$F$18</c:f>
              <c:numCache>
                <c:formatCode>\₹#,##0;"(₹"#,##0\);\-</c:formatCode>
                <c:ptCount val="1"/>
                <c:pt idx="0">
                  <c:v>-181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9-2B43-4280-A9E7-D85E7A031D7E}"/>
            </c:ext>
          </c:extLst>
        </c:ser>
        <c:ser>
          <c:idx val="10"/>
          <c:order val="10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DASHBOARD'!$G$18</c:f>
              <c:numCache>
                <c:formatCode>\₹#,##0;"(₹"#,##0\);\-</c:formatCode>
                <c:ptCount val="1"/>
                <c:pt idx="0">
                  <c:v>-200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A-2B43-4280-A9E7-D85E7A031D7E}"/>
            </c:ext>
          </c:extLst>
        </c:ser>
        <c:ser>
          <c:idx val="11"/>
          <c:order val="11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DASHBOARD'!$H$18</c:f>
              <c:numCache>
                <c:formatCode>\₹#,##0;"(₹"#,##0\);\-</c:formatCode>
                <c:ptCount val="1"/>
                <c:pt idx="0">
                  <c:v>-167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B-2B43-4280-A9E7-D85E7A031D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73069925"/>
        <c:axId val="38504682"/>
      </c:lineChart>
      <c:catAx>
        <c:axId val="7306992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38504682"/>
        <c:crosses val="autoZero"/>
        <c:auto val="1"/>
        <c:lblAlgn val="ctr"/>
        <c:lblOffset val="100"/>
        <c:noMultiLvlLbl val="0"/>
      </c:catAx>
      <c:valAx>
        <c:axId val="38504682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₹'000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₹#,##0;&quot;(₹&quot;#,##0\);\-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73069925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EBITDA Cash Conversion % vs Collection Efficiency %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DASHBOARD'!$C$21</c:f>
              <c:numCache>
                <c:formatCode>0.0%;\(0.0%\);\-</c:formatCode>
                <c:ptCount val="1"/>
                <c:pt idx="0">
                  <c:v>-2.8977272727272727E-2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B1D9-4562-ABCD-8C5E1AEA0832}"/>
            </c:ext>
          </c:extLst>
        </c:ser>
        <c:ser>
          <c:idx val="1"/>
          <c:order val="1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DASHBOARD'!$D$21</c:f>
              <c:numCache>
                <c:formatCode>0.0%;\(0.0%\);\-</c:formatCode>
                <c:ptCount val="1"/>
                <c:pt idx="0">
                  <c:v>-2.6606875934230195E-2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1D9-4562-ABCD-8C5E1AEA0832}"/>
            </c:ext>
          </c:extLst>
        </c:ser>
        <c:ser>
          <c:idx val="2"/>
          <c:order val="2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DASHBOARD'!$E$21</c:f>
              <c:numCache>
                <c:formatCode>0.0%;\(0.0%\);\-</c:formatCode>
                <c:ptCount val="1"/>
                <c:pt idx="0">
                  <c:v>-2.9649595687331536E-2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1D9-4562-ABCD-8C5E1AEA0832}"/>
            </c:ext>
          </c:extLst>
        </c:ser>
        <c:ser>
          <c:idx val="3"/>
          <c:order val="3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DASHBOARD'!$F$21</c:f>
              <c:numCache>
                <c:formatCode>0.0%;\(0.0%\);\-</c:formatCode>
                <c:ptCount val="1"/>
                <c:pt idx="0">
                  <c:v>-2.5984911986588432E-2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B1D9-4562-ABCD-8C5E1AEA0832}"/>
            </c:ext>
          </c:extLst>
        </c:ser>
        <c:ser>
          <c:idx val="4"/>
          <c:order val="4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DASHBOARD'!$G$21</c:f>
              <c:numCache>
                <c:formatCode>0.0%;\(0.0%\);\-</c:formatCode>
                <c:ptCount val="1"/>
                <c:pt idx="0">
                  <c:v>-3.0338389731621937E-2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4-B1D9-4562-ABCD-8C5E1AEA0832}"/>
            </c:ext>
          </c:extLst>
        </c:ser>
        <c:ser>
          <c:idx val="5"/>
          <c:order val="5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DASHBOARD'!$H$21</c:f>
              <c:numCache>
                <c:formatCode>0.0%;\(0.0%\);\-</c:formatCode>
                <c:ptCount val="1"/>
                <c:pt idx="0">
                  <c:v>-2.7195281782437745E-2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5-B1D9-4562-ABCD-8C5E1AEA0832}"/>
            </c:ext>
          </c:extLst>
        </c:ser>
        <c:ser>
          <c:idx val="6"/>
          <c:order val="6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DASHBOARD'!$C$22</c:f>
              <c:numCache>
                <c:formatCode>0.0%;\(0.0%\);\-</c:formatCode>
                <c:ptCount val="1"/>
                <c:pt idx="0">
                  <c:v>2.0833333333333332E-2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6-B1D9-4562-ABCD-8C5E1AEA0832}"/>
            </c:ext>
          </c:extLst>
        </c:ser>
        <c:ser>
          <c:idx val="7"/>
          <c:order val="7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DASHBOARD'!$D$22</c:f>
              <c:numCache>
                <c:formatCode>0.0%;\(0.0%\);\-</c:formatCode>
                <c:ptCount val="1"/>
                <c:pt idx="0">
                  <c:v>2.3261961406291304E-2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7-B1D9-4562-ABCD-8C5E1AEA0832}"/>
            </c:ext>
          </c:extLst>
        </c:ser>
        <c:ser>
          <c:idx val="8"/>
          <c:order val="8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DASHBOARD'!$E$22</c:f>
              <c:numCache>
                <c:formatCode>0.0%;\(0.0%\);\-</c:formatCode>
                <c:ptCount val="1"/>
                <c:pt idx="0">
                  <c:v>2.8110047846889953E-2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8-B1D9-4562-ABCD-8C5E1AEA0832}"/>
            </c:ext>
          </c:extLst>
        </c:ser>
        <c:ser>
          <c:idx val="9"/>
          <c:order val="9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DASHBOARD'!$F$22</c:f>
              <c:numCache>
                <c:formatCode>0.0%;\(0.0%\);\-</c:formatCode>
                <c:ptCount val="1"/>
                <c:pt idx="0">
                  <c:v>2.3387493845396356E-2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9-B1D9-4562-ABCD-8C5E1AEA0832}"/>
            </c:ext>
          </c:extLst>
        </c:ser>
        <c:ser>
          <c:idx val="10"/>
          <c:order val="10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DASHBOARD'!$G$22</c:f>
              <c:numCache>
                <c:formatCode>0.0%;\(0.0%\);\-</c:formatCode>
                <c:ptCount val="1"/>
                <c:pt idx="0">
                  <c:v>2.2245214692188309E-2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A-B1D9-4562-ABCD-8C5E1AEA0832}"/>
            </c:ext>
          </c:extLst>
        </c:ser>
        <c:ser>
          <c:idx val="11"/>
          <c:order val="11"/>
          <c:spPr>
            <a:ln w="0">
              <a:solidFill>
                <a:srgbClr val="FFFFFF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DASHBOARD'!$C$13:$H$13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DASHBOARD'!$H$22</c:f>
              <c:numCache>
                <c:formatCode>0.0%;\(0.0%\);\-</c:formatCode>
                <c:ptCount val="1"/>
                <c:pt idx="0">
                  <c:v>2.570694087403599E-2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B-B1D9-4562-ABCD-8C5E1AEA0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56812437"/>
        <c:axId val="61264909"/>
      </c:lineChart>
      <c:catAx>
        <c:axId val="56812437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61264909"/>
        <c:crosses val="autoZero"/>
        <c:auto val="1"/>
        <c:lblAlgn val="ctr"/>
        <c:lblOffset val="100"/>
        <c:noMultiLvlLbl val="0"/>
      </c:catAx>
      <c:valAx>
        <c:axId val="61264909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0%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56812437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Revenue &amp; EBITDA: Actuals vs Budget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3E6595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DASHBOARD'!$C$54</c:f>
              <c:numCache>
                <c:formatCode>\₹#,##0;"(₹"#,##0\);\-</c:formatCode>
                <c:ptCount val="1"/>
                <c:pt idx="0">
                  <c:v>3984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69-4E1A-BFF2-0CA25E0B6384}"/>
            </c:ext>
          </c:extLst>
        </c:ser>
        <c:ser>
          <c:idx val="1"/>
          <c:order val="1"/>
          <c:spPr>
            <a:solidFill>
              <a:srgbClr val="973F3C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DASHBOARD'!$D$54</c:f>
              <c:numCache>
                <c:formatCode>\₹#,##0;"(₹"#,##0\);\-</c:formatCode>
                <c:ptCount val="1"/>
                <c:pt idx="0">
                  <c:v>3783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C69-4E1A-BFF2-0CA25E0B6384}"/>
            </c:ext>
          </c:extLst>
        </c:ser>
        <c:ser>
          <c:idx val="2"/>
          <c:order val="2"/>
          <c:spPr>
            <a:solidFill>
              <a:srgbClr val="7A9346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DASHBOARD'!$E$54</c:f>
              <c:numCache>
                <c:formatCode>\₹#,##0;"(₹"#,##0\);\-</c:formatCode>
                <c:ptCount val="1"/>
                <c:pt idx="0">
                  <c:v>3344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C69-4E1A-BFF2-0CA25E0B6384}"/>
            </c:ext>
          </c:extLst>
        </c:ser>
        <c:ser>
          <c:idx val="3"/>
          <c:order val="3"/>
          <c:spPr>
            <a:solidFill>
              <a:srgbClr val="654E7F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DASHBOARD'!$F$54</c:f>
              <c:numCache>
                <c:formatCode>\₹#,##0;"(₹"#,##0\);\-</c:formatCode>
                <c:ptCount val="1"/>
                <c:pt idx="0">
                  <c:v>4062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C69-4E1A-BFF2-0CA25E0B6384}"/>
            </c:ext>
          </c:extLst>
        </c:ser>
        <c:ser>
          <c:idx val="4"/>
          <c:order val="4"/>
          <c:spPr>
            <a:solidFill>
              <a:srgbClr val="3B879C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DASHBOARD'!$G$54</c:f>
              <c:numCache>
                <c:formatCode>\₹#,##0;"(₹"#,##0\);\-</c:formatCode>
                <c:ptCount val="1"/>
                <c:pt idx="0">
                  <c:v>3866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C69-4E1A-BFF2-0CA25E0B6384}"/>
            </c:ext>
          </c:extLst>
        </c:ser>
        <c:ser>
          <c:idx val="5"/>
          <c:order val="5"/>
          <c:spPr>
            <a:solidFill>
              <a:srgbClr val="C27637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DASHBOARD'!$H$54</c:f>
              <c:numCache>
                <c:formatCode>\₹#,##0;"(₹"#,##0\);\-</c:formatCode>
                <c:ptCount val="1"/>
                <c:pt idx="0">
                  <c:v>3501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C69-4E1A-BFF2-0CA25E0B6384}"/>
            </c:ext>
          </c:extLst>
        </c:ser>
        <c:ser>
          <c:idx val="6"/>
          <c:order val="6"/>
          <c:spPr>
            <a:solidFill>
              <a:srgbClr val="4978B1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DASHBOARD'!$C$55</c:f>
              <c:numCache>
                <c:formatCode>\₹#,##0;"(₹"#,##0\);\-</c:formatCode>
                <c:ptCount val="1"/>
                <c:pt idx="0">
                  <c:v>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C69-4E1A-BFF2-0CA25E0B6384}"/>
            </c:ext>
          </c:extLst>
        </c:ser>
        <c:ser>
          <c:idx val="7"/>
          <c:order val="7"/>
          <c:spPr>
            <a:solidFill>
              <a:srgbClr val="B34A48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DASHBOARD'!$D$55</c:f>
              <c:numCache>
                <c:formatCode>\₹#,##0;"(₹"#,##0\);\-</c:formatCode>
                <c:ptCount val="1"/>
                <c:pt idx="0">
                  <c:v>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C69-4E1A-BFF2-0CA25E0B6384}"/>
            </c:ext>
          </c:extLst>
        </c:ser>
        <c:ser>
          <c:idx val="8"/>
          <c:order val="8"/>
          <c:spPr>
            <a:solidFill>
              <a:srgbClr val="91AF53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DASHBOARD'!$E$55</c:f>
              <c:numCache>
                <c:formatCode>\₹#,##0;"(₹"#,##0\);\-</c:formatCode>
                <c:ptCount val="1"/>
                <c:pt idx="0">
                  <c:v>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C69-4E1A-BFF2-0CA25E0B6384}"/>
            </c:ext>
          </c:extLst>
        </c:ser>
        <c:ser>
          <c:idx val="9"/>
          <c:order val="9"/>
          <c:spPr>
            <a:solidFill>
              <a:srgbClr val="775D97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DASHBOARD'!$F$55</c:f>
              <c:numCache>
                <c:formatCode>\₹#,##0;"(₹"#,##0\);\-</c:formatCode>
                <c:ptCount val="1"/>
                <c:pt idx="0">
                  <c:v>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C69-4E1A-BFF2-0CA25E0B6384}"/>
            </c:ext>
          </c:extLst>
        </c:ser>
        <c:ser>
          <c:idx val="10"/>
          <c:order val="10"/>
          <c:spPr>
            <a:solidFill>
              <a:srgbClr val="46A1B9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DASHBOARD'!$G$55</c:f>
              <c:numCache>
                <c:formatCode>\₹#,##0;"(₹"#,##0\);\-</c:formatCode>
                <c:ptCount val="1"/>
                <c:pt idx="0">
                  <c:v>489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C69-4E1A-BFF2-0CA25E0B6384}"/>
            </c:ext>
          </c:extLst>
        </c:ser>
        <c:ser>
          <c:idx val="11"/>
          <c:order val="11"/>
          <c:spPr>
            <a:solidFill>
              <a:srgbClr val="E78C41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DASHBOARD'!$H$55</c:f>
              <c:numCache>
                <c:formatCode>\₹#,##0;"(₹"#,##0\);\-</c:formatCode>
                <c:ptCount val="1"/>
                <c:pt idx="0">
                  <c:v>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C69-4E1A-BFF2-0CA25E0B6384}"/>
            </c:ext>
          </c:extLst>
        </c:ser>
        <c:ser>
          <c:idx val="12"/>
          <c:order val="12"/>
          <c:spPr>
            <a:solidFill>
              <a:srgbClr val="7E9BC7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DASHBOARD'!$C$56</c:f>
              <c:numCache>
                <c:formatCode>\₹#,##0;"(₹"#,##0\);\-</c:formatCode>
                <c:ptCount val="1"/>
                <c:pt idx="0">
                  <c:v>3520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C69-4E1A-BFF2-0CA25E0B6384}"/>
            </c:ext>
          </c:extLst>
        </c:ser>
        <c:ser>
          <c:idx val="13"/>
          <c:order val="13"/>
          <c:spPr>
            <a:solidFill>
              <a:srgbClr val="CA7E7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DASHBOARD'!$D$56</c:f>
              <c:numCache>
                <c:formatCode>\₹#,##0;"(₹"#,##0\);\-</c:formatCode>
                <c:ptCount val="1"/>
                <c:pt idx="0">
                  <c:v>3345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8C69-4E1A-BFF2-0CA25E0B6384}"/>
            </c:ext>
          </c:extLst>
        </c:ser>
        <c:ser>
          <c:idx val="14"/>
          <c:order val="14"/>
          <c:spPr>
            <a:solidFill>
              <a:srgbClr val="ADC683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DASHBOARD'!$E$56</c:f>
              <c:numCache>
                <c:formatCode>\₹#,##0;"(₹"#,##0\);\-</c:formatCode>
                <c:ptCount val="1"/>
                <c:pt idx="0">
                  <c:v>2968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C69-4E1A-BFF2-0CA25E0B6384}"/>
            </c:ext>
          </c:extLst>
        </c:ser>
        <c:ser>
          <c:idx val="15"/>
          <c:order val="15"/>
          <c:spPr>
            <a:solidFill>
              <a:srgbClr val="9A89B2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DASHBOARD'!$F$56</c:f>
              <c:numCache>
                <c:formatCode>\₹#,##0;"(₹"#,##0\);\-</c:formatCode>
                <c:ptCount val="1"/>
                <c:pt idx="0">
                  <c:v>3579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8C69-4E1A-BFF2-0CA25E0B6384}"/>
            </c:ext>
          </c:extLst>
        </c:ser>
        <c:ser>
          <c:idx val="16"/>
          <c:order val="16"/>
          <c:spPr>
            <a:solidFill>
              <a:srgbClr val="7CBACF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DASHBOARD'!$G$56</c:f>
              <c:numCache>
                <c:formatCode>\₹#,##0;"(₹"#,##0\);\-</c:formatCode>
                <c:ptCount val="1"/>
                <c:pt idx="0">
                  <c:v>3428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C69-4E1A-BFF2-0CA25E0B6384}"/>
            </c:ext>
          </c:extLst>
        </c:ser>
        <c:ser>
          <c:idx val="17"/>
          <c:order val="17"/>
          <c:spPr>
            <a:solidFill>
              <a:srgbClr val="F8AA7A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DASHBOARD'!$H$56</c:f>
              <c:numCache>
                <c:formatCode>\₹#,##0;"(₹"#,##0\);\-</c:formatCode>
                <c:ptCount val="1"/>
                <c:pt idx="0">
                  <c:v>3052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8C69-4E1A-BFF2-0CA25E0B6384}"/>
            </c:ext>
          </c:extLst>
        </c:ser>
        <c:ser>
          <c:idx val="18"/>
          <c:order val="18"/>
          <c:spPr>
            <a:solidFill>
              <a:srgbClr val="B5C3DB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DASHBOARD'!$C$57</c:f>
              <c:numCache>
                <c:formatCode>\₹#,##0;"(₹"#,##0\);\-</c:formatCode>
                <c:ptCount val="1"/>
                <c:pt idx="0">
                  <c:v>-0.13429752066115702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8C69-4E1A-BFF2-0CA25E0B6384}"/>
            </c:ext>
          </c:extLst>
        </c:ser>
        <c:ser>
          <c:idx val="19"/>
          <c:order val="19"/>
          <c:spPr>
            <a:solidFill>
              <a:srgbClr val="DDB5B5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DASHBOARD'!$D$57</c:f>
              <c:numCache>
                <c:formatCode>\₹#,##0;"(₹"#,##0\);\-</c:formatCode>
                <c:ptCount val="1"/>
                <c:pt idx="0">
                  <c:v>0.16380952380952382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8C69-4E1A-BFF2-0CA25E0B6384}"/>
            </c:ext>
          </c:extLst>
        </c:ser>
        <c:ser>
          <c:idx val="20"/>
          <c:order val="20"/>
          <c:spPr>
            <a:solidFill>
              <a:srgbClr val="CCDAB7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DASHBOARD'!$E$57</c:f>
              <c:numCache>
                <c:formatCode>\₹#,##0;"(₹"#,##0\);\-</c:formatCode>
                <c:ptCount val="1"/>
                <c:pt idx="0">
                  <c:v>-0.13704496788008566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8C69-4E1A-BFF2-0CA25E0B6384}"/>
            </c:ext>
          </c:extLst>
        </c:ser>
        <c:ser>
          <c:idx val="21"/>
          <c:order val="21"/>
          <c:spPr>
            <a:solidFill>
              <a:srgbClr val="C2BACF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DASHBOARD'!$F$57</c:f>
              <c:numCache>
                <c:formatCode>\₹#,##0;"(₹"#,##0\);\-</c:formatCode>
                <c:ptCount val="1"/>
                <c:pt idx="0">
                  <c:v>-0.12007874015748031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8C69-4E1A-BFF2-0CA25E0B6384}"/>
            </c:ext>
          </c:extLst>
        </c:ser>
        <c:ser>
          <c:idx val="22"/>
          <c:order val="22"/>
          <c:spPr>
            <a:solidFill>
              <a:srgbClr val="B5D4E0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DASHBOARD'!$G$57</c:f>
              <c:numCache>
                <c:formatCode>\₹#,##0;"(₹"#,##0\);\-</c:formatCode>
                <c:ptCount val="1"/>
                <c:pt idx="0">
                  <c:v>-0.11042944785276074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8C69-4E1A-BFF2-0CA25E0B6384}"/>
            </c:ext>
          </c:extLst>
        </c:ser>
        <c:ser>
          <c:idx val="23"/>
          <c:order val="23"/>
          <c:spPr>
            <a:solidFill>
              <a:srgbClr val="FACAB4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'🖥 DASHBOARD'!$C$53:$H$53</c:f>
              <c:strCache>
                <c:ptCount val="6"/>
                <c:pt idx="0">
                  <c:v>Apr</c:v>
                </c:pt>
                <c:pt idx="1">
                  <c:v>May</c:v>
                </c:pt>
                <c:pt idx="2">
                  <c:v>Jun</c:v>
                </c:pt>
                <c:pt idx="3">
                  <c:v>Jul</c:v>
                </c:pt>
                <c:pt idx="4">
                  <c:v>Aug</c:v>
                </c:pt>
                <c:pt idx="5">
                  <c:v>Sep</c:v>
                </c:pt>
              </c:strCache>
            </c:strRef>
          </c:cat>
          <c:val>
            <c:numRef>
              <c:f>'🖥 DASHBOARD'!$H$57</c:f>
              <c:numCache>
                <c:formatCode>\₹#,##0;"(₹"#,##0\);\-</c:formatCode>
                <c:ptCount val="1"/>
                <c:pt idx="0">
                  <c:v>3.8461538461538464E-3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C69-4E1A-BFF2-0CA25E0B63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924826"/>
        <c:axId val="56068908"/>
      </c:barChart>
      <c:catAx>
        <c:axId val="4092482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56068908"/>
        <c:crosses val="autoZero"/>
        <c:auto val="1"/>
        <c:lblAlgn val="ctr"/>
        <c:lblOffset val="100"/>
        <c:noMultiLvlLbl val="0"/>
      </c:catAx>
      <c:valAx>
        <c:axId val="56068908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₹'000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₹#,##0;&quot;(₹&quot;#,##0\);\-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40924826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16</xdr:row>
      <xdr:rowOff>0</xdr:rowOff>
    </xdr:from>
    <xdr:to>
      <xdr:col>9</xdr:col>
      <xdr:colOff>162360</xdr:colOff>
      <xdr:row>42</xdr:row>
      <xdr:rowOff>82800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0</xdr:rowOff>
    </xdr:from>
    <xdr:to>
      <xdr:col>6</xdr:col>
      <xdr:colOff>117000</xdr:colOff>
      <xdr:row>34</xdr:row>
      <xdr:rowOff>124920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0</xdr:colOff>
      <xdr:row>18</xdr:row>
      <xdr:rowOff>0</xdr:rowOff>
    </xdr:from>
    <xdr:to>
      <xdr:col>9</xdr:col>
      <xdr:colOff>524520</xdr:colOff>
      <xdr:row>34</xdr:row>
      <xdr:rowOff>124920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0</xdr:colOff>
      <xdr:row>30</xdr:row>
      <xdr:rowOff>0</xdr:rowOff>
    </xdr:from>
    <xdr:to>
      <xdr:col>6</xdr:col>
      <xdr:colOff>133920</xdr:colOff>
      <xdr:row>50</xdr:row>
      <xdr:rowOff>105480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5</xdr:col>
      <xdr:colOff>0</xdr:colOff>
      <xdr:row>30</xdr:row>
      <xdr:rowOff>0</xdr:rowOff>
    </xdr:from>
    <xdr:to>
      <xdr:col>9</xdr:col>
      <xdr:colOff>682560</xdr:colOff>
      <xdr:row>50</xdr:row>
      <xdr:rowOff>105480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4</xdr:col>
      <xdr:colOff>226080</xdr:colOff>
      <xdr:row>58</xdr:row>
      <xdr:rowOff>8640</xdr:rowOff>
    </xdr:from>
    <xdr:to>
      <xdr:col>9</xdr:col>
      <xdr:colOff>360000</xdr:colOff>
      <xdr:row>77</xdr:row>
      <xdr:rowOff>124200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</xdr:col>
      <xdr:colOff>0</xdr:colOff>
      <xdr:row>58</xdr:row>
      <xdr:rowOff>0</xdr:rowOff>
    </xdr:from>
    <xdr:to>
      <xdr:col>5</xdr:col>
      <xdr:colOff>587520</xdr:colOff>
      <xdr:row>80</xdr:row>
      <xdr:rowOff>8640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1B2A"/>
  </sheetPr>
  <dimension ref="A1:S59"/>
  <sheetViews>
    <sheetView showGridLines="0" tabSelected="1" zoomScaleNormal="100" workbookViewId="0">
      <selection activeCell="B3" sqref="B3:G3"/>
    </sheetView>
  </sheetViews>
  <sheetFormatPr defaultColWidth="8.7109375" defaultRowHeight="15" x14ac:dyDescent="0.25"/>
  <cols>
    <col min="1" max="1" width="3" style="348" customWidth="1"/>
    <col min="2" max="7" width="18" style="348" customWidth="1"/>
    <col min="8" max="8" width="3" style="348" customWidth="1"/>
    <col min="9" max="16384" width="8.7109375" style="348"/>
  </cols>
  <sheetData>
    <row r="1" spans="1:19" ht="19.5" customHeight="1" x14ac:dyDescent="0.25">
      <c r="A1" s="454"/>
      <c r="B1" s="454"/>
      <c r="C1" s="454"/>
      <c r="D1" s="454"/>
      <c r="E1" s="454"/>
      <c r="F1" s="454"/>
      <c r="G1" s="454"/>
      <c r="H1" s="454"/>
      <c r="I1" s="454"/>
      <c r="J1" s="454"/>
      <c r="K1" s="454"/>
      <c r="L1" s="454"/>
      <c r="M1" s="454"/>
      <c r="N1" s="454"/>
      <c r="O1" s="454"/>
      <c r="P1" s="454"/>
      <c r="Q1" s="454"/>
      <c r="R1" s="454"/>
      <c r="S1" s="454"/>
    </row>
    <row r="2" spans="1:19" ht="19.5" customHeight="1" x14ac:dyDescent="0.25">
      <c r="A2" s="454"/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</row>
    <row r="3" spans="1:19" ht="63.75" customHeight="1" x14ac:dyDescent="0.25">
      <c r="A3" s="454"/>
      <c r="B3" s="473" t="s">
        <v>621</v>
      </c>
      <c r="C3" s="473"/>
      <c r="D3" s="473"/>
      <c r="E3" s="473"/>
      <c r="F3" s="473"/>
      <c r="G3" s="473"/>
      <c r="H3" s="454"/>
      <c r="I3" s="454"/>
      <c r="J3" s="454"/>
      <c r="K3" s="454"/>
      <c r="L3" s="454"/>
      <c r="M3" s="454"/>
      <c r="N3" s="454"/>
      <c r="O3" s="454"/>
      <c r="P3" s="454"/>
      <c r="Q3" s="454"/>
      <c r="R3" s="454"/>
      <c r="S3" s="454"/>
    </row>
    <row r="4" spans="1:19" ht="30" customHeight="1" x14ac:dyDescent="0.25">
      <c r="A4" s="454"/>
      <c r="B4" s="455" t="s">
        <v>0</v>
      </c>
      <c r="C4" s="455"/>
      <c r="D4" s="455"/>
      <c r="E4" s="455"/>
      <c r="F4" s="455"/>
      <c r="G4" s="455"/>
      <c r="H4" s="454"/>
      <c r="I4" s="454"/>
      <c r="J4" s="454"/>
      <c r="K4" s="454"/>
      <c r="L4" s="454"/>
      <c r="M4" s="454"/>
      <c r="N4" s="454"/>
      <c r="O4" s="454"/>
      <c r="P4" s="454"/>
      <c r="Q4" s="454"/>
      <c r="R4" s="454"/>
      <c r="S4" s="454"/>
    </row>
    <row r="5" spans="1:19" ht="3.75" customHeight="1" x14ac:dyDescent="0.25">
      <c r="A5" s="454"/>
      <c r="B5" s="456"/>
      <c r="C5" s="456"/>
      <c r="D5" s="456"/>
      <c r="E5" s="456"/>
      <c r="F5" s="456"/>
      <c r="G5" s="456"/>
      <c r="H5" s="454"/>
      <c r="I5" s="454"/>
      <c r="J5" s="454"/>
      <c r="K5" s="454"/>
      <c r="L5" s="454"/>
      <c r="M5" s="454"/>
      <c r="N5" s="454"/>
      <c r="O5" s="454"/>
      <c r="P5" s="454"/>
      <c r="Q5" s="454"/>
      <c r="R5" s="454"/>
      <c r="S5" s="454"/>
    </row>
    <row r="6" spans="1:19" ht="19.5" customHeight="1" x14ac:dyDescent="0.25">
      <c r="A6" s="454"/>
      <c r="B6" s="454"/>
      <c r="C6" s="454"/>
      <c r="D6" s="454"/>
      <c r="E6" s="454"/>
      <c r="F6" s="454"/>
      <c r="G6" s="454"/>
      <c r="H6" s="454"/>
      <c r="I6" s="454"/>
      <c r="J6" s="454"/>
      <c r="K6" s="454"/>
      <c r="L6" s="454"/>
      <c r="M6" s="454"/>
      <c r="N6" s="454"/>
      <c r="O6" s="454"/>
      <c r="P6" s="454"/>
      <c r="Q6" s="454"/>
      <c r="R6" s="454"/>
      <c r="S6" s="454"/>
    </row>
    <row r="7" spans="1:19" ht="24" customHeight="1" x14ac:dyDescent="0.25">
      <c r="A7" s="454"/>
      <c r="B7" s="457" t="s">
        <v>1</v>
      </c>
      <c r="C7" s="457"/>
      <c r="D7" s="458" t="s">
        <v>2</v>
      </c>
      <c r="E7" s="458"/>
      <c r="F7" s="458"/>
      <c r="G7" s="458"/>
      <c r="H7" s="454"/>
      <c r="I7" s="454"/>
      <c r="J7" s="454"/>
      <c r="K7" s="454"/>
      <c r="L7" s="454"/>
      <c r="M7" s="454"/>
      <c r="N7" s="454"/>
      <c r="O7" s="454"/>
      <c r="P7" s="454"/>
      <c r="Q7" s="454"/>
      <c r="R7" s="454"/>
      <c r="S7" s="454"/>
    </row>
    <row r="8" spans="1:19" ht="24" customHeight="1" x14ac:dyDescent="0.25">
      <c r="A8" s="454"/>
      <c r="B8" s="457" t="s">
        <v>3</v>
      </c>
      <c r="C8" s="457"/>
      <c r="D8" s="458" t="s">
        <v>4</v>
      </c>
      <c r="E8" s="458"/>
      <c r="F8" s="458"/>
      <c r="G8" s="458"/>
      <c r="H8" s="454"/>
      <c r="I8" s="454"/>
      <c r="J8" s="454"/>
      <c r="K8" s="454"/>
      <c r="L8" s="454"/>
      <c r="M8" s="454"/>
      <c r="N8" s="454"/>
      <c r="O8" s="454"/>
      <c r="P8" s="454"/>
      <c r="Q8" s="454"/>
      <c r="R8" s="454"/>
      <c r="S8" s="454"/>
    </row>
    <row r="9" spans="1:19" ht="24" customHeight="1" x14ac:dyDescent="0.25">
      <c r="A9" s="454"/>
      <c r="B9" s="457" t="s">
        <v>5</v>
      </c>
      <c r="C9" s="457"/>
      <c r="D9" s="458" t="s">
        <v>6</v>
      </c>
      <c r="E9" s="458"/>
      <c r="F9" s="458"/>
      <c r="G9" s="458"/>
      <c r="H9" s="454"/>
      <c r="I9" s="454"/>
      <c r="J9" s="454"/>
      <c r="K9" s="454"/>
      <c r="L9" s="454"/>
      <c r="M9" s="454"/>
      <c r="N9" s="454"/>
      <c r="O9" s="454"/>
      <c r="P9" s="454"/>
      <c r="Q9" s="454"/>
      <c r="R9" s="454"/>
      <c r="S9" s="454"/>
    </row>
    <row r="10" spans="1:19" ht="24" customHeight="1" x14ac:dyDescent="0.25">
      <c r="A10" s="454"/>
      <c r="B10" s="457" t="s">
        <v>7</v>
      </c>
      <c r="C10" s="457"/>
      <c r="D10" s="458" t="s">
        <v>8</v>
      </c>
      <c r="E10" s="458"/>
      <c r="F10" s="458"/>
      <c r="G10" s="458"/>
      <c r="H10" s="454"/>
      <c r="I10" s="454"/>
      <c r="J10" s="454"/>
      <c r="K10" s="454"/>
      <c r="L10" s="454"/>
      <c r="M10" s="454"/>
      <c r="N10" s="454"/>
      <c r="O10" s="454"/>
      <c r="P10" s="454"/>
      <c r="Q10" s="454"/>
      <c r="R10" s="454"/>
      <c r="S10" s="454"/>
    </row>
    <row r="11" spans="1:19" ht="19.5" customHeight="1" x14ac:dyDescent="0.25">
      <c r="A11" s="454"/>
      <c r="B11" s="454"/>
      <c r="C11" s="454"/>
      <c r="D11" s="454"/>
      <c r="E11" s="454"/>
      <c r="F11" s="454"/>
      <c r="G11" s="454"/>
      <c r="H11" s="454"/>
      <c r="I11" s="454"/>
      <c r="J11" s="454"/>
      <c r="K11" s="454"/>
      <c r="L11" s="454"/>
      <c r="M11" s="454"/>
      <c r="N11" s="454"/>
      <c r="O11" s="454"/>
      <c r="P11" s="454"/>
      <c r="Q11" s="454"/>
      <c r="R11" s="454"/>
      <c r="S11" s="454"/>
    </row>
    <row r="12" spans="1:19" ht="19.5" customHeight="1" x14ac:dyDescent="0.25">
      <c r="A12" s="454"/>
      <c r="B12" s="454"/>
      <c r="C12" s="454"/>
      <c r="D12" s="454"/>
      <c r="E12" s="454"/>
      <c r="F12" s="454"/>
      <c r="G12" s="454"/>
      <c r="H12" s="454"/>
      <c r="I12" s="454"/>
      <c r="J12" s="454"/>
      <c r="K12" s="454"/>
      <c r="L12" s="454"/>
      <c r="M12" s="454"/>
      <c r="N12" s="454"/>
      <c r="O12" s="454"/>
      <c r="P12" s="454"/>
      <c r="Q12" s="454"/>
      <c r="R12" s="454"/>
      <c r="S12" s="454"/>
    </row>
    <row r="13" spans="1:19" ht="27.75" customHeight="1" x14ac:dyDescent="0.25">
      <c r="A13" s="454"/>
      <c r="B13" s="459" t="s">
        <v>9</v>
      </c>
      <c r="C13" s="459"/>
      <c r="D13" s="459"/>
      <c r="E13" s="459"/>
      <c r="F13" s="459"/>
      <c r="G13" s="459"/>
      <c r="H13" s="454"/>
      <c r="I13" s="454"/>
      <c r="J13" s="454"/>
      <c r="K13" s="454"/>
      <c r="L13" s="454"/>
      <c r="M13" s="454"/>
      <c r="N13" s="454"/>
      <c r="O13" s="454"/>
      <c r="P13" s="454"/>
      <c r="Q13" s="454"/>
      <c r="R13" s="454"/>
      <c r="S13" s="454"/>
    </row>
    <row r="14" spans="1:19" ht="21.75" customHeight="1" x14ac:dyDescent="0.25">
      <c r="A14" s="454"/>
      <c r="B14" s="460" t="s">
        <v>10</v>
      </c>
      <c r="C14" s="460"/>
      <c r="D14" s="461" t="s">
        <v>11</v>
      </c>
      <c r="E14" s="461"/>
      <c r="F14" s="461"/>
      <c r="G14" s="461"/>
      <c r="H14" s="454"/>
      <c r="I14" s="454"/>
      <c r="J14" s="454"/>
      <c r="K14" s="454"/>
      <c r="L14" s="454"/>
      <c r="M14" s="454"/>
      <c r="N14" s="454"/>
      <c r="O14" s="454"/>
      <c r="P14" s="454"/>
      <c r="Q14" s="454"/>
      <c r="R14" s="454"/>
      <c r="S14" s="454"/>
    </row>
    <row r="15" spans="1:19" ht="13.5" customHeight="1" x14ac:dyDescent="0.25">
      <c r="A15" s="454"/>
      <c r="B15" s="460"/>
      <c r="C15" s="460"/>
      <c r="D15" s="461"/>
      <c r="E15" s="461"/>
      <c r="F15" s="461"/>
      <c r="G15" s="461"/>
      <c r="H15" s="454"/>
      <c r="I15" s="454"/>
      <c r="J15" s="454"/>
      <c r="K15" s="454"/>
      <c r="L15" s="454"/>
      <c r="M15" s="454"/>
      <c r="N15" s="454"/>
      <c r="O15" s="454"/>
      <c r="P15" s="454"/>
      <c r="Q15" s="454"/>
      <c r="R15" s="454"/>
      <c r="S15" s="454"/>
    </row>
    <row r="16" spans="1:19" ht="21.75" customHeight="1" x14ac:dyDescent="0.25">
      <c r="A16" s="454"/>
      <c r="B16" s="462" t="s">
        <v>12</v>
      </c>
      <c r="C16" s="462"/>
      <c r="D16" s="463" t="s">
        <v>13</v>
      </c>
      <c r="E16" s="463"/>
      <c r="F16" s="463"/>
      <c r="G16" s="463"/>
      <c r="H16" s="454"/>
      <c r="I16" s="454"/>
      <c r="J16" s="454"/>
      <c r="K16" s="454"/>
      <c r="L16" s="454"/>
      <c r="M16" s="454"/>
      <c r="N16" s="454"/>
      <c r="O16" s="454"/>
      <c r="P16" s="454"/>
      <c r="Q16" s="454"/>
      <c r="R16" s="454"/>
      <c r="S16" s="454"/>
    </row>
    <row r="17" spans="1:19" ht="13.5" customHeight="1" x14ac:dyDescent="0.25">
      <c r="A17" s="454"/>
      <c r="B17" s="462"/>
      <c r="C17" s="462"/>
      <c r="D17" s="463"/>
      <c r="E17" s="463"/>
      <c r="F17" s="463"/>
      <c r="G17" s="463"/>
      <c r="H17" s="454"/>
      <c r="I17" s="454"/>
      <c r="J17" s="454"/>
      <c r="K17" s="454"/>
      <c r="L17" s="454"/>
      <c r="M17" s="454"/>
      <c r="N17" s="454"/>
      <c r="O17" s="454"/>
      <c r="P17" s="454"/>
      <c r="Q17" s="454"/>
      <c r="R17" s="454"/>
      <c r="S17" s="454"/>
    </row>
    <row r="18" spans="1:19" ht="21.75" customHeight="1" x14ac:dyDescent="0.25">
      <c r="A18" s="454"/>
      <c r="B18" s="464" t="s">
        <v>14</v>
      </c>
      <c r="C18" s="464"/>
      <c r="D18" s="465" t="s">
        <v>15</v>
      </c>
      <c r="E18" s="465"/>
      <c r="F18" s="465"/>
      <c r="G18" s="465"/>
      <c r="H18" s="454"/>
      <c r="I18" s="454"/>
      <c r="J18" s="454"/>
      <c r="K18" s="454"/>
      <c r="L18" s="454"/>
      <c r="M18" s="454"/>
      <c r="N18" s="454"/>
      <c r="O18" s="454"/>
      <c r="P18" s="454"/>
      <c r="Q18" s="454"/>
      <c r="R18" s="454"/>
      <c r="S18" s="454"/>
    </row>
    <row r="19" spans="1:19" ht="13.5" customHeight="1" x14ac:dyDescent="0.25">
      <c r="A19" s="454"/>
      <c r="B19" s="464"/>
      <c r="C19" s="464"/>
      <c r="D19" s="465"/>
      <c r="E19" s="465"/>
      <c r="F19" s="465"/>
      <c r="G19" s="465"/>
      <c r="H19" s="454"/>
      <c r="I19" s="454"/>
      <c r="J19" s="454"/>
      <c r="K19" s="454"/>
      <c r="L19" s="454"/>
      <c r="M19" s="454"/>
      <c r="N19" s="454"/>
      <c r="O19" s="454"/>
      <c r="P19" s="454"/>
      <c r="Q19" s="454"/>
      <c r="R19" s="454"/>
      <c r="S19" s="454"/>
    </row>
    <row r="20" spans="1:19" ht="21.75" customHeight="1" x14ac:dyDescent="0.25">
      <c r="A20" s="454"/>
      <c r="B20" s="462" t="s">
        <v>16</v>
      </c>
      <c r="C20" s="462"/>
      <c r="D20" s="463" t="s">
        <v>17</v>
      </c>
      <c r="E20" s="463"/>
      <c r="F20" s="463"/>
      <c r="G20" s="463"/>
      <c r="H20" s="454"/>
      <c r="I20" s="454"/>
      <c r="J20" s="454"/>
      <c r="K20" s="454"/>
      <c r="L20" s="454"/>
      <c r="M20" s="454"/>
      <c r="N20" s="454"/>
      <c r="O20" s="454"/>
      <c r="P20" s="454"/>
      <c r="Q20" s="454"/>
      <c r="R20" s="454"/>
      <c r="S20" s="454"/>
    </row>
    <row r="21" spans="1:19" ht="13.5" customHeight="1" x14ac:dyDescent="0.25">
      <c r="A21" s="454"/>
      <c r="B21" s="462"/>
      <c r="C21" s="462"/>
      <c r="D21" s="463"/>
      <c r="E21" s="463"/>
      <c r="F21" s="463"/>
      <c r="G21" s="463"/>
      <c r="H21" s="454"/>
      <c r="I21" s="454"/>
      <c r="J21" s="454"/>
      <c r="K21" s="454"/>
      <c r="L21" s="454"/>
      <c r="M21" s="454"/>
      <c r="N21" s="454"/>
      <c r="O21" s="454"/>
      <c r="P21" s="454"/>
      <c r="Q21" s="454"/>
      <c r="R21" s="454"/>
      <c r="S21" s="454"/>
    </row>
    <row r="22" spans="1:19" ht="21.75" customHeight="1" x14ac:dyDescent="0.25">
      <c r="A22" s="454"/>
      <c r="B22" s="466" t="s">
        <v>18</v>
      </c>
      <c r="C22" s="466"/>
      <c r="D22" s="467" t="s">
        <v>19</v>
      </c>
      <c r="E22" s="467"/>
      <c r="F22" s="467"/>
      <c r="G22" s="467"/>
      <c r="H22" s="454"/>
      <c r="I22" s="454"/>
      <c r="J22" s="454"/>
      <c r="K22" s="454"/>
      <c r="L22" s="454"/>
      <c r="M22" s="454"/>
      <c r="N22" s="454"/>
      <c r="O22" s="454"/>
      <c r="P22" s="454"/>
      <c r="Q22" s="454"/>
      <c r="R22" s="454"/>
      <c r="S22" s="454"/>
    </row>
    <row r="23" spans="1:19" ht="13.5" customHeight="1" x14ac:dyDescent="0.25">
      <c r="A23" s="454"/>
      <c r="B23" s="466"/>
      <c r="C23" s="466"/>
      <c r="D23" s="467"/>
      <c r="E23" s="467"/>
      <c r="F23" s="467"/>
      <c r="G23" s="467"/>
      <c r="H23" s="454"/>
      <c r="I23" s="454"/>
      <c r="J23" s="454"/>
      <c r="K23" s="454"/>
      <c r="L23" s="454"/>
      <c r="M23" s="454"/>
      <c r="N23" s="454"/>
      <c r="O23" s="454"/>
      <c r="P23" s="454"/>
      <c r="Q23" s="454"/>
      <c r="R23" s="454"/>
      <c r="S23" s="454"/>
    </row>
    <row r="24" spans="1:19" ht="21.75" customHeight="1" x14ac:dyDescent="0.25">
      <c r="A24" s="454"/>
      <c r="B24" s="468" t="s">
        <v>20</v>
      </c>
      <c r="C24" s="468"/>
      <c r="D24" s="469" t="s">
        <v>21</v>
      </c>
      <c r="E24" s="469"/>
      <c r="F24" s="469"/>
      <c r="G24" s="469"/>
      <c r="H24" s="454"/>
      <c r="I24" s="454"/>
      <c r="J24" s="454"/>
      <c r="K24" s="454"/>
      <c r="L24" s="454"/>
      <c r="M24" s="454"/>
      <c r="N24" s="454"/>
      <c r="O24" s="454"/>
      <c r="P24" s="454"/>
      <c r="Q24" s="454"/>
      <c r="R24" s="454"/>
      <c r="S24" s="454"/>
    </row>
    <row r="25" spans="1:19" ht="13.5" customHeight="1" x14ac:dyDescent="0.25">
      <c r="A25" s="454"/>
      <c r="B25" s="468"/>
      <c r="C25" s="468"/>
      <c r="D25" s="469"/>
      <c r="E25" s="469"/>
      <c r="F25" s="469"/>
      <c r="G25" s="469"/>
      <c r="H25" s="454"/>
      <c r="I25" s="454"/>
      <c r="J25" s="454"/>
      <c r="K25" s="454"/>
      <c r="L25" s="454"/>
      <c r="M25" s="454"/>
      <c r="N25" s="454"/>
      <c r="O25" s="454"/>
      <c r="P25" s="454"/>
      <c r="Q25" s="454"/>
      <c r="R25" s="454"/>
      <c r="S25" s="454"/>
    </row>
    <row r="26" spans="1:19" ht="21.75" customHeight="1" x14ac:dyDescent="0.25">
      <c r="A26" s="454"/>
      <c r="B26" s="470" t="s">
        <v>22</v>
      </c>
      <c r="C26" s="470"/>
      <c r="D26" s="465" t="s">
        <v>23</v>
      </c>
      <c r="E26" s="465"/>
      <c r="F26" s="465"/>
      <c r="G26" s="465"/>
      <c r="H26" s="454"/>
      <c r="I26" s="454"/>
      <c r="J26" s="454"/>
      <c r="K26" s="454"/>
      <c r="L26" s="454"/>
      <c r="M26" s="454"/>
      <c r="N26" s="454"/>
      <c r="O26" s="454"/>
      <c r="P26" s="454"/>
      <c r="Q26" s="454"/>
      <c r="R26" s="454"/>
      <c r="S26" s="454"/>
    </row>
    <row r="27" spans="1:19" ht="13.5" customHeight="1" x14ac:dyDescent="0.25">
      <c r="A27" s="454"/>
      <c r="B27" s="470"/>
      <c r="C27" s="470"/>
      <c r="D27" s="465"/>
      <c r="E27" s="465"/>
      <c r="F27" s="465"/>
      <c r="G27" s="465"/>
      <c r="H27" s="454"/>
      <c r="I27" s="454"/>
      <c r="J27" s="454"/>
      <c r="K27" s="454"/>
      <c r="L27" s="454"/>
      <c r="M27" s="454"/>
      <c r="N27" s="454"/>
      <c r="O27" s="454"/>
      <c r="P27" s="454"/>
      <c r="Q27" s="454"/>
      <c r="R27" s="454"/>
      <c r="S27" s="454"/>
    </row>
    <row r="28" spans="1:19" ht="21.75" customHeight="1" x14ac:dyDescent="0.25">
      <c r="A28" s="454"/>
      <c r="B28" s="464" t="s">
        <v>24</v>
      </c>
      <c r="C28" s="464"/>
      <c r="D28" s="465" t="s">
        <v>25</v>
      </c>
      <c r="E28" s="465"/>
      <c r="F28" s="465"/>
      <c r="G28" s="465"/>
      <c r="H28" s="454"/>
      <c r="I28" s="454"/>
      <c r="J28" s="454"/>
      <c r="K28" s="454"/>
      <c r="L28" s="454"/>
      <c r="M28" s="454"/>
      <c r="N28" s="454"/>
      <c r="O28" s="454"/>
      <c r="P28" s="454"/>
      <c r="Q28" s="454"/>
      <c r="R28" s="454"/>
      <c r="S28" s="454"/>
    </row>
    <row r="29" spans="1:19" ht="13.5" customHeight="1" x14ac:dyDescent="0.25">
      <c r="A29" s="454"/>
      <c r="B29" s="464"/>
      <c r="C29" s="464"/>
      <c r="D29" s="465"/>
      <c r="E29" s="465"/>
      <c r="F29" s="465"/>
      <c r="G29" s="465"/>
      <c r="H29" s="454"/>
      <c r="I29" s="454"/>
      <c r="J29" s="454"/>
      <c r="K29" s="454"/>
      <c r="L29" s="454"/>
      <c r="M29" s="454"/>
      <c r="N29" s="454"/>
      <c r="O29" s="454"/>
      <c r="P29" s="454"/>
      <c r="Q29" s="454"/>
      <c r="R29" s="454"/>
      <c r="S29" s="454"/>
    </row>
    <row r="30" spans="1:19" ht="21.75" customHeight="1" x14ac:dyDescent="0.25">
      <c r="A30" s="454"/>
      <c r="B30" s="462" t="s">
        <v>26</v>
      </c>
      <c r="C30" s="462"/>
      <c r="D30" s="463" t="s">
        <v>27</v>
      </c>
      <c r="E30" s="463"/>
      <c r="F30" s="463"/>
      <c r="G30" s="463"/>
      <c r="H30" s="454"/>
      <c r="I30" s="454"/>
      <c r="J30" s="454"/>
      <c r="K30" s="454"/>
      <c r="L30" s="454"/>
      <c r="M30" s="454"/>
      <c r="N30" s="454"/>
      <c r="O30" s="454"/>
      <c r="P30" s="454"/>
      <c r="Q30" s="454"/>
      <c r="R30" s="454"/>
      <c r="S30" s="454"/>
    </row>
    <row r="31" spans="1:19" ht="13.5" customHeight="1" x14ac:dyDescent="0.25">
      <c r="A31" s="454"/>
      <c r="B31" s="462"/>
      <c r="C31" s="462"/>
      <c r="D31" s="463"/>
      <c r="E31" s="463"/>
      <c r="F31" s="463"/>
      <c r="G31" s="463"/>
      <c r="H31" s="454"/>
      <c r="I31" s="454"/>
      <c r="J31" s="454"/>
      <c r="K31" s="454"/>
      <c r="L31" s="454"/>
      <c r="M31" s="454"/>
      <c r="N31" s="454"/>
      <c r="O31" s="454"/>
      <c r="P31" s="454"/>
      <c r="Q31" s="454"/>
      <c r="R31" s="454"/>
      <c r="S31" s="454"/>
    </row>
    <row r="32" spans="1:19" ht="21.75" customHeight="1" x14ac:dyDescent="0.25">
      <c r="A32" s="454"/>
      <c r="B32" s="460" t="s">
        <v>28</v>
      </c>
      <c r="C32" s="460"/>
      <c r="D32" s="461" t="s">
        <v>29</v>
      </c>
      <c r="E32" s="461"/>
      <c r="F32" s="461"/>
      <c r="G32" s="461"/>
      <c r="H32" s="454"/>
      <c r="I32" s="454"/>
      <c r="J32" s="454"/>
      <c r="K32" s="454"/>
      <c r="L32" s="454"/>
      <c r="M32" s="454"/>
      <c r="N32" s="454"/>
      <c r="O32" s="454"/>
      <c r="P32" s="454"/>
      <c r="Q32" s="454"/>
      <c r="R32" s="454"/>
      <c r="S32" s="454"/>
    </row>
    <row r="33" spans="1:19" ht="13.5" customHeight="1" x14ac:dyDescent="0.25">
      <c r="A33" s="454"/>
      <c r="B33" s="460"/>
      <c r="C33" s="460"/>
      <c r="D33" s="461"/>
      <c r="E33" s="461"/>
      <c r="F33" s="461"/>
      <c r="G33" s="461"/>
      <c r="H33" s="454"/>
      <c r="I33" s="454"/>
      <c r="J33" s="454"/>
      <c r="K33" s="454"/>
      <c r="L33" s="454"/>
      <c r="M33" s="454"/>
      <c r="N33" s="454"/>
      <c r="O33" s="454"/>
      <c r="P33" s="454"/>
      <c r="Q33" s="454"/>
      <c r="R33" s="454"/>
      <c r="S33" s="454"/>
    </row>
    <row r="34" spans="1:19" ht="21.75" customHeight="1" x14ac:dyDescent="0.25">
      <c r="A34" s="454"/>
      <c r="B34" s="471" t="s">
        <v>30</v>
      </c>
      <c r="C34" s="471"/>
      <c r="D34" s="461" t="s">
        <v>31</v>
      </c>
      <c r="E34" s="461"/>
      <c r="F34" s="461"/>
      <c r="G34" s="461"/>
      <c r="H34" s="454"/>
      <c r="I34" s="454"/>
      <c r="J34" s="454"/>
      <c r="K34" s="454"/>
      <c r="L34" s="454"/>
      <c r="M34" s="454"/>
      <c r="N34" s="454"/>
      <c r="O34" s="454"/>
      <c r="P34" s="454"/>
      <c r="Q34" s="454"/>
      <c r="R34" s="454"/>
      <c r="S34" s="454"/>
    </row>
    <row r="35" spans="1:19" ht="13.5" customHeight="1" x14ac:dyDescent="0.25">
      <c r="A35" s="454"/>
      <c r="B35" s="471"/>
      <c r="C35" s="471"/>
      <c r="D35" s="461"/>
      <c r="E35" s="461"/>
      <c r="F35" s="461"/>
      <c r="G35" s="461"/>
      <c r="H35" s="454"/>
      <c r="I35" s="454"/>
      <c r="J35" s="454"/>
      <c r="K35" s="454"/>
      <c r="L35" s="454"/>
      <c r="M35" s="454"/>
      <c r="N35" s="454"/>
      <c r="O35" s="454"/>
      <c r="P35" s="454"/>
      <c r="Q35" s="454"/>
      <c r="R35" s="454"/>
      <c r="S35" s="454"/>
    </row>
    <row r="36" spans="1:19" ht="19.5" customHeight="1" x14ac:dyDescent="0.25">
      <c r="A36" s="454"/>
      <c r="B36" s="454"/>
      <c r="C36" s="454"/>
      <c r="D36" s="454"/>
      <c r="E36" s="454"/>
      <c r="F36" s="454"/>
      <c r="G36" s="454"/>
      <c r="H36" s="454"/>
      <c r="I36" s="454"/>
      <c r="J36" s="454"/>
      <c r="K36" s="454"/>
      <c r="L36" s="454"/>
      <c r="M36" s="454"/>
      <c r="N36" s="454"/>
      <c r="O36" s="454"/>
      <c r="P36" s="454"/>
      <c r="Q36" s="454"/>
      <c r="R36" s="454"/>
      <c r="S36" s="454"/>
    </row>
    <row r="37" spans="1:19" ht="19.5" customHeight="1" x14ac:dyDescent="0.25">
      <c r="A37" s="454"/>
      <c r="B37" s="454"/>
      <c r="C37" s="454"/>
      <c r="D37" s="454"/>
      <c r="E37" s="454"/>
      <c r="F37" s="454"/>
      <c r="G37" s="454"/>
      <c r="H37" s="454"/>
      <c r="I37" s="454"/>
      <c r="J37" s="454"/>
      <c r="K37" s="454"/>
      <c r="L37" s="454"/>
      <c r="M37" s="454"/>
      <c r="N37" s="454"/>
      <c r="O37" s="454"/>
      <c r="P37" s="454"/>
      <c r="Q37" s="454"/>
      <c r="R37" s="454"/>
      <c r="S37" s="454"/>
    </row>
    <row r="38" spans="1:19" ht="19.5" customHeight="1" x14ac:dyDescent="0.25">
      <c r="A38" s="454"/>
      <c r="B38" s="454"/>
      <c r="C38" s="454"/>
      <c r="D38" s="454"/>
      <c r="E38" s="454"/>
      <c r="F38" s="454"/>
      <c r="G38" s="454"/>
      <c r="H38" s="454"/>
      <c r="I38" s="454"/>
      <c r="J38" s="454"/>
      <c r="K38" s="454"/>
      <c r="L38" s="454"/>
      <c r="M38" s="454"/>
      <c r="N38" s="454"/>
      <c r="O38" s="454"/>
      <c r="P38" s="454"/>
      <c r="Q38" s="454"/>
      <c r="R38" s="454"/>
      <c r="S38" s="454"/>
    </row>
    <row r="39" spans="1:19" ht="19.5" customHeight="1" x14ac:dyDescent="0.25">
      <c r="A39" s="454"/>
      <c r="B39" s="454"/>
      <c r="C39" s="454"/>
      <c r="D39" s="454"/>
      <c r="E39" s="454"/>
      <c r="F39" s="454"/>
      <c r="G39" s="454"/>
      <c r="H39" s="454"/>
      <c r="I39" s="454"/>
      <c r="J39" s="454"/>
      <c r="K39" s="454"/>
      <c r="L39" s="454"/>
      <c r="M39" s="454"/>
      <c r="N39" s="454"/>
      <c r="O39" s="454"/>
      <c r="P39" s="454"/>
      <c r="Q39" s="454"/>
      <c r="R39" s="454"/>
      <c r="S39" s="454"/>
    </row>
    <row r="40" spans="1:19" ht="19.5" customHeight="1" x14ac:dyDescent="0.25">
      <c r="A40" s="454"/>
      <c r="B40" s="454"/>
      <c r="C40" s="454"/>
      <c r="D40" s="454"/>
      <c r="E40" s="454"/>
      <c r="F40" s="454"/>
      <c r="G40" s="454"/>
      <c r="H40" s="454"/>
      <c r="I40" s="454"/>
      <c r="J40" s="454"/>
      <c r="K40" s="454"/>
      <c r="L40" s="454"/>
      <c r="M40" s="454"/>
      <c r="N40" s="454"/>
      <c r="O40" s="454"/>
      <c r="P40" s="454"/>
      <c r="Q40" s="454"/>
      <c r="R40" s="454"/>
      <c r="S40" s="454"/>
    </row>
    <row r="41" spans="1:19" ht="19.5" customHeight="1" x14ac:dyDescent="0.25">
      <c r="A41" s="454"/>
      <c r="B41" s="454"/>
      <c r="C41" s="454"/>
      <c r="D41" s="454"/>
      <c r="E41" s="454"/>
      <c r="F41" s="454"/>
      <c r="G41" s="454"/>
      <c r="H41" s="454"/>
      <c r="I41" s="454"/>
      <c r="J41" s="454"/>
      <c r="K41" s="454"/>
      <c r="L41" s="454"/>
      <c r="M41" s="454"/>
      <c r="N41" s="454"/>
      <c r="O41" s="454"/>
      <c r="P41" s="454"/>
      <c r="Q41" s="454"/>
      <c r="R41" s="454"/>
      <c r="S41" s="454"/>
    </row>
    <row r="42" spans="1:19" ht="19.5" customHeight="1" x14ac:dyDescent="0.25">
      <c r="A42" s="454"/>
      <c r="B42" s="454"/>
      <c r="C42" s="454"/>
      <c r="D42" s="454"/>
      <c r="E42" s="454"/>
      <c r="F42" s="454"/>
      <c r="G42" s="454"/>
      <c r="H42" s="454"/>
      <c r="I42" s="454"/>
      <c r="J42" s="454"/>
      <c r="K42" s="454"/>
      <c r="L42" s="454"/>
      <c r="M42" s="454"/>
      <c r="N42" s="454"/>
      <c r="O42" s="454"/>
      <c r="P42" s="454"/>
      <c r="Q42" s="454"/>
      <c r="R42" s="454"/>
      <c r="S42" s="454"/>
    </row>
    <row r="43" spans="1:19" ht="19.5" customHeight="1" x14ac:dyDescent="0.25">
      <c r="A43" s="454"/>
      <c r="B43" s="454"/>
      <c r="C43" s="454"/>
      <c r="D43" s="454"/>
      <c r="E43" s="454"/>
      <c r="F43" s="454"/>
      <c r="G43" s="454"/>
      <c r="H43" s="454"/>
      <c r="I43" s="454"/>
      <c r="J43" s="454"/>
      <c r="K43" s="454"/>
      <c r="L43" s="454"/>
      <c r="M43" s="454"/>
      <c r="N43" s="454"/>
      <c r="O43" s="454"/>
      <c r="P43" s="454"/>
      <c r="Q43" s="454"/>
      <c r="R43" s="454"/>
      <c r="S43" s="454"/>
    </row>
    <row r="44" spans="1:19" ht="19.5" customHeight="1" x14ac:dyDescent="0.25">
      <c r="A44" s="454"/>
      <c r="B44" s="454"/>
      <c r="C44" s="454"/>
      <c r="D44" s="454"/>
      <c r="E44" s="454"/>
      <c r="F44" s="454"/>
      <c r="G44" s="454"/>
      <c r="H44" s="454"/>
      <c r="I44" s="454"/>
      <c r="J44" s="454"/>
      <c r="K44" s="454"/>
      <c r="L44" s="454"/>
      <c r="M44" s="454"/>
      <c r="N44" s="454"/>
      <c r="O44" s="454"/>
      <c r="P44" s="454"/>
      <c r="Q44" s="454"/>
      <c r="R44" s="454"/>
      <c r="S44" s="454"/>
    </row>
    <row r="45" spans="1:19" ht="19.5" customHeight="1" x14ac:dyDescent="0.25">
      <c r="A45" s="454"/>
      <c r="B45" s="454"/>
      <c r="C45" s="454"/>
      <c r="D45" s="454"/>
      <c r="E45" s="454"/>
      <c r="F45" s="454"/>
      <c r="G45" s="454"/>
      <c r="H45" s="454"/>
      <c r="I45" s="454"/>
      <c r="J45" s="454"/>
      <c r="K45" s="454"/>
      <c r="L45" s="454"/>
      <c r="M45" s="454"/>
      <c r="N45" s="454"/>
      <c r="O45" s="454"/>
      <c r="P45" s="454"/>
      <c r="Q45" s="454"/>
      <c r="R45" s="454"/>
      <c r="S45" s="454"/>
    </row>
    <row r="46" spans="1:19" ht="19.5" customHeight="1" x14ac:dyDescent="0.25">
      <c r="A46" s="454"/>
      <c r="B46" s="454"/>
      <c r="C46" s="454"/>
      <c r="D46" s="454"/>
      <c r="E46" s="454"/>
      <c r="F46" s="454"/>
      <c r="G46" s="454"/>
      <c r="H46" s="454"/>
      <c r="I46" s="454"/>
      <c r="J46" s="454"/>
      <c r="K46" s="454"/>
      <c r="L46" s="454"/>
      <c r="M46" s="454"/>
      <c r="N46" s="454"/>
      <c r="O46" s="454"/>
      <c r="P46" s="454"/>
      <c r="Q46" s="454"/>
      <c r="R46" s="454"/>
      <c r="S46" s="454"/>
    </row>
    <row r="47" spans="1:19" ht="19.5" customHeight="1" x14ac:dyDescent="0.25">
      <c r="A47" s="454"/>
      <c r="B47" s="454"/>
      <c r="C47" s="454"/>
      <c r="D47" s="454"/>
      <c r="E47" s="454"/>
      <c r="F47" s="454"/>
      <c r="G47" s="454"/>
      <c r="H47" s="454"/>
      <c r="I47" s="454"/>
      <c r="J47" s="454"/>
      <c r="K47" s="454"/>
      <c r="L47" s="454"/>
      <c r="M47" s="454"/>
      <c r="N47" s="454"/>
      <c r="O47" s="454"/>
      <c r="P47" s="454"/>
      <c r="Q47" s="454"/>
      <c r="R47" s="454"/>
      <c r="S47" s="454"/>
    </row>
    <row r="48" spans="1:19" ht="19.5" customHeight="1" x14ac:dyDescent="0.25">
      <c r="A48" s="454"/>
      <c r="B48" s="454"/>
      <c r="C48" s="454"/>
      <c r="D48" s="454"/>
      <c r="E48" s="454"/>
      <c r="F48" s="454"/>
      <c r="G48" s="454"/>
      <c r="H48" s="454"/>
      <c r="I48" s="454"/>
      <c r="J48" s="454"/>
      <c r="K48" s="454"/>
      <c r="L48" s="454"/>
      <c r="M48" s="454"/>
      <c r="N48" s="454"/>
      <c r="O48" s="454"/>
      <c r="P48" s="454"/>
      <c r="Q48" s="454"/>
      <c r="R48" s="454"/>
      <c r="S48" s="454"/>
    </row>
    <row r="49" spans="1:19" ht="19.5" customHeight="1" x14ac:dyDescent="0.25">
      <c r="A49" s="454"/>
      <c r="B49" s="454"/>
      <c r="C49" s="454"/>
      <c r="D49" s="454"/>
      <c r="E49" s="454"/>
      <c r="F49" s="454"/>
      <c r="G49" s="454"/>
      <c r="H49" s="454"/>
      <c r="I49" s="454"/>
      <c r="J49" s="454"/>
      <c r="K49" s="454"/>
      <c r="L49" s="454"/>
      <c r="M49" s="454"/>
      <c r="N49" s="454"/>
      <c r="O49" s="454"/>
      <c r="P49" s="454"/>
      <c r="Q49" s="454"/>
      <c r="R49" s="454"/>
      <c r="S49" s="454"/>
    </row>
    <row r="50" spans="1:19" ht="24.75" customHeight="1" x14ac:dyDescent="0.25">
      <c r="A50" s="454"/>
      <c r="B50" s="472" t="s">
        <v>32</v>
      </c>
      <c r="C50" s="472"/>
      <c r="D50" s="472"/>
      <c r="E50" s="472"/>
      <c r="F50" s="472"/>
      <c r="G50" s="472"/>
      <c r="H50" s="454"/>
      <c r="I50" s="454"/>
      <c r="J50" s="454"/>
      <c r="K50" s="454"/>
      <c r="L50" s="454"/>
      <c r="M50" s="454"/>
      <c r="N50" s="454"/>
      <c r="O50" s="454"/>
      <c r="P50" s="454"/>
      <c r="Q50" s="454"/>
      <c r="R50" s="454"/>
      <c r="S50" s="454"/>
    </row>
    <row r="51" spans="1:19" ht="19.5" customHeight="1" x14ac:dyDescent="0.25">
      <c r="A51" s="454"/>
      <c r="B51" s="454"/>
      <c r="C51" s="454"/>
      <c r="D51" s="454"/>
      <c r="E51" s="454"/>
      <c r="F51" s="454"/>
      <c r="G51" s="454"/>
      <c r="H51" s="454"/>
      <c r="I51" s="454"/>
      <c r="J51" s="454"/>
      <c r="K51" s="454"/>
      <c r="L51" s="454"/>
      <c r="M51" s="454"/>
      <c r="N51" s="454"/>
      <c r="O51" s="454"/>
      <c r="P51" s="454"/>
      <c r="Q51" s="454"/>
      <c r="R51" s="454"/>
      <c r="S51" s="454"/>
    </row>
    <row r="52" spans="1:19" ht="19.5" customHeight="1" x14ac:dyDescent="0.25">
      <c r="A52" s="454"/>
      <c r="B52" s="454"/>
      <c r="C52" s="454"/>
      <c r="D52" s="454"/>
      <c r="E52" s="454"/>
      <c r="F52" s="454"/>
      <c r="G52" s="454"/>
      <c r="H52" s="454"/>
      <c r="I52" s="454"/>
      <c r="J52" s="454"/>
      <c r="K52" s="454"/>
      <c r="L52" s="454"/>
      <c r="M52" s="454"/>
      <c r="N52" s="454"/>
      <c r="O52" s="454"/>
      <c r="P52" s="454"/>
      <c r="Q52" s="454"/>
      <c r="R52" s="454"/>
      <c r="S52" s="454"/>
    </row>
    <row r="53" spans="1:19" ht="19.5" customHeight="1" x14ac:dyDescent="0.25">
      <c r="A53" s="454"/>
      <c r="B53" s="454"/>
      <c r="C53" s="454"/>
      <c r="D53" s="454"/>
      <c r="E53" s="454"/>
      <c r="F53" s="454"/>
      <c r="G53" s="454"/>
      <c r="H53" s="454"/>
      <c r="I53" s="454"/>
      <c r="J53" s="454"/>
      <c r="K53" s="454"/>
      <c r="L53" s="454"/>
      <c r="M53" s="454"/>
      <c r="N53" s="454"/>
      <c r="O53" s="454"/>
      <c r="P53" s="454"/>
      <c r="Q53" s="454"/>
      <c r="R53" s="454"/>
      <c r="S53" s="454"/>
    </row>
    <row r="54" spans="1:19" ht="19.5" customHeight="1" x14ac:dyDescent="0.25">
      <c r="A54" s="454"/>
      <c r="B54" s="454"/>
      <c r="C54" s="454"/>
      <c r="D54" s="454"/>
      <c r="E54" s="454"/>
      <c r="F54" s="454"/>
      <c r="G54" s="454"/>
      <c r="H54" s="454"/>
      <c r="I54" s="454"/>
      <c r="J54" s="454"/>
      <c r="K54" s="454"/>
      <c r="L54" s="454"/>
      <c r="M54" s="454"/>
      <c r="N54" s="454"/>
      <c r="O54" s="454"/>
      <c r="P54" s="454"/>
      <c r="Q54" s="454"/>
      <c r="R54" s="454"/>
      <c r="S54" s="454"/>
    </row>
    <row r="55" spans="1:19" ht="19.5" customHeight="1" x14ac:dyDescent="0.25">
      <c r="A55" s="454"/>
      <c r="B55" s="454"/>
      <c r="C55" s="454"/>
      <c r="D55" s="454"/>
      <c r="E55" s="454"/>
      <c r="F55" s="454"/>
      <c r="G55" s="454"/>
      <c r="H55" s="454"/>
      <c r="I55" s="454"/>
      <c r="J55" s="454"/>
      <c r="K55" s="454"/>
      <c r="L55" s="454"/>
      <c r="M55" s="454"/>
      <c r="N55" s="454"/>
      <c r="O55" s="454"/>
      <c r="P55" s="454"/>
      <c r="Q55" s="454"/>
      <c r="R55" s="454"/>
      <c r="S55" s="454"/>
    </row>
    <row r="56" spans="1:19" ht="19.5" customHeight="1" x14ac:dyDescent="0.25">
      <c r="A56" s="454"/>
      <c r="B56" s="454"/>
      <c r="C56" s="454"/>
      <c r="D56" s="454"/>
      <c r="E56" s="454"/>
      <c r="F56" s="454"/>
      <c r="G56" s="454"/>
      <c r="H56" s="454"/>
      <c r="I56" s="454"/>
      <c r="J56" s="454"/>
      <c r="K56" s="454"/>
      <c r="L56" s="454"/>
      <c r="M56" s="454"/>
      <c r="N56" s="454"/>
      <c r="O56" s="454"/>
      <c r="P56" s="454"/>
      <c r="Q56" s="454"/>
      <c r="R56" s="454"/>
      <c r="S56" s="454"/>
    </row>
    <row r="57" spans="1:19" ht="19.5" customHeight="1" x14ac:dyDescent="0.25">
      <c r="A57" s="454"/>
      <c r="B57" s="454"/>
      <c r="C57" s="454"/>
      <c r="D57" s="454"/>
      <c r="E57" s="454"/>
      <c r="F57" s="454"/>
      <c r="G57" s="454"/>
      <c r="H57" s="454"/>
      <c r="I57" s="454"/>
      <c r="J57" s="454"/>
      <c r="K57" s="454"/>
      <c r="L57" s="454"/>
      <c r="M57" s="454"/>
      <c r="N57" s="454"/>
      <c r="O57" s="454"/>
      <c r="P57" s="454"/>
      <c r="Q57" s="454"/>
      <c r="R57" s="454"/>
      <c r="S57" s="454"/>
    </row>
    <row r="58" spans="1:19" ht="19.5" customHeight="1" x14ac:dyDescent="0.25">
      <c r="A58" s="454"/>
      <c r="B58" s="454"/>
      <c r="C58" s="454"/>
      <c r="D58" s="454"/>
      <c r="E58" s="454"/>
      <c r="F58" s="454"/>
      <c r="G58" s="454"/>
      <c r="H58" s="454"/>
      <c r="I58" s="454"/>
      <c r="J58" s="454"/>
      <c r="K58" s="454"/>
      <c r="L58" s="454"/>
      <c r="M58" s="454"/>
      <c r="N58" s="454"/>
      <c r="O58" s="454"/>
      <c r="P58" s="454"/>
      <c r="Q58" s="454"/>
      <c r="R58" s="454"/>
      <c r="S58" s="454"/>
    </row>
    <row r="59" spans="1:19" ht="19.5" customHeight="1" x14ac:dyDescent="0.25">
      <c r="A59" s="454"/>
      <c r="B59" s="454"/>
      <c r="C59" s="454"/>
      <c r="D59" s="454"/>
      <c r="E59" s="454"/>
      <c r="F59" s="454"/>
      <c r="G59" s="454"/>
      <c r="H59" s="454"/>
      <c r="I59" s="454"/>
      <c r="J59" s="454"/>
      <c r="K59" s="454"/>
      <c r="L59" s="454"/>
      <c r="M59" s="454"/>
      <c r="N59" s="454"/>
      <c r="O59" s="454"/>
      <c r="P59" s="454"/>
      <c r="Q59" s="454"/>
      <c r="R59" s="454"/>
      <c r="S59" s="454"/>
    </row>
  </sheetData>
  <sheetProtection algorithmName="SHA-512" hashValue="hBlw04A9GQFiYQhbcaQAPrkM4TKpUfFaA7hqmVkTsvo9KV0HXt2CRZt+NKSHxHIGN4iCyT1Udm1pXRg02PYGUg==" saltValue="wN15fr3LXKKF6fGemG+2tg==" spinCount="100000" sheet="1" objects="1" scenarios="1"/>
  <mergeCells count="35">
    <mergeCell ref="B3:G3"/>
    <mergeCell ref="B4:G4"/>
    <mergeCell ref="B5:G5"/>
    <mergeCell ref="B7:C7"/>
    <mergeCell ref="D7:G7"/>
    <mergeCell ref="B8:C8"/>
    <mergeCell ref="D8:G8"/>
    <mergeCell ref="B9:C9"/>
    <mergeCell ref="D9:G9"/>
    <mergeCell ref="B10:C10"/>
    <mergeCell ref="D10:G10"/>
    <mergeCell ref="B13:G13"/>
    <mergeCell ref="B14:C15"/>
    <mergeCell ref="D14:G15"/>
    <mergeCell ref="B16:C17"/>
    <mergeCell ref="D16:G17"/>
    <mergeCell ref="B18:C19"/>
    <mergeCell ref="D18:G19"/>
    <mergeCell ref="B20:C21"/>
    <mergeCell ref="D20:G21"/>
    <mergeCell ref="B22:C23"/>
    <mergeCell ref="D22:G23"/>
    <mergeCell ref="B24:C25"/>
    <mergeCell ref="D24:G25"/>
    <mergeCell ref="B26:C27"/>
    <mergeCell ref="D26:G27"/>
    <mergeCell ref="B28:C29"/>
    <mergeCell ref="D28:G29"/>
    <mergeCell ref="B50:G50"/>
    <mergeCell ref="B30:C31"/>
    <mergeCell ref="D30:G31"/>
    <mergeCell ref="B32:C33"/>
    <mergeCell ref="D32:G33"/>
    <mergeCell ref="B34:C35"/>
    <mergeCell ref="D34:G35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86C1"/>
  </sheetPr>
  <dimension ref="B2:N90"/>
  <sheetViews>
    <sheetView showGridLines="0" zoomScaleNormal="100" workbookViewId="0">
      <pane xSplit="2" ySplit="3" topLeftCell="E4" activePane="bottomRight" state="frozen"/>
      <selection pane="topRight" activeCell="E1" sqref="E1"/>
      <selection pane="bottomLeft" activeCell="A4" sqref="A4"/>
      <selection pane="bottomRight" activeCell="N56" sqref="N56"/>
    </sheetView>
  </sheetViews>
  <sheetFormatPr defaultColWidth="8.7109375" defaultRowHeight="15" x14ac:dyDescent="0.25"/>
  <cols>
    <col min="1" max="1" width="2" style="3" customWidth="1"/>
    <col min="2" max="3" width="45.5703125" style="3" customWidth="1"/>
    <col min="4" max="4" width="16" style="3" customWidth="1"/>
    <col min="5" max="5" width="18.7109375" style="3" customWidth="1"/>
    <col min="6" max="13" width="16" style="3" customWidth="1"/>
    <col min="14" max="14" width="10.140625" style="3" customWidth="1"/>
    <col min="15" max="16384" width="8.7109375" style="3"/>
  </cols>
  <sheetData>
    <row r="2" spans="2:14" ht="27.75" customHeight="1" x14ac:dyDescent="0.25">
      <c r="B2" s="307" t="s">
        <v>33</v>
      </c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</row>
    <row r="3" spans="2:14" ht="24" customHeight="1" x14ac:dyDescent="0.25">
      <c r="B3" s="5" t="s">
        <v>34</v>
      </c>
      <c r="C3" s="5" t="s">
        <v>35</v>
      </c>
      <c r="D3" s="5" t="s">
        <v>36</v>
      </c>
      <c r="E3" s="5" t="s">
        <v>37</v>
      </c>
    </row>
    <row r="4" spans="2:14" ht="18" customHeight="1" x14ac:dyDescent="0.25">
      <c r="B4" s="6" t="s">
        <v>38</v>
      </c>
      <c r="C4" s="7" t="s">
        <v>39</v>
      </c>
      <c r="D4" s="8" t="s">
        <v>40</v>
      </c>
      <c r="E4" s="8" t="s">
        <v>41</v>
      </c>
    </row>
    <row r="5" spans="2:14" ht="18" customHeight="1" x14ac:dyDescent="0.25">
      <c r="B5" s="9" t="s">
        <v>42</v>
      </c>
      <c r="C5" s="10" t="s">
        <v>43</v>
      </c>
      <c r="D5" s="11" t="s">
        <v>44</v>
      </c>
      <c r="E5" s="11"/>
    </row>
    <row r="6" spans="2:14" ht="18" customHeight="1" x14ac:dyDescent="0.25">
      <c r="B6" s="6" t="s">
        <v>45</v>
      </c>
      <c r="C6" s="7" t="s">
        <v>46</v>
      </c>
      <c r="D6" s="8" t="s">
        <v>47</v>
      </c>
      <c r="E6" s="8" t="s">
        <v>48</v>
      </c>
    </row>
    <row r="7" spans="2:14" ht="18" customHeight="1" x14ac:dyDescent="0.25">
      <c r="B7" s="9" t="s">
        <v>49</v>
      </c>
      <c r="C7" s="10" t="s">
        <v>50</v>
      </c>
      <c r="D7" s="11" t="s">
        <v>47</v>
      </c>
      <c r="E7" s="11" t="s">
        <v>51</v>
      </c>
    </row>
    <row r="8" spans="2:14" ht="30.75" customHeight="1" x14ac:dyDescent="0.25">
      <c r="B8" s="6" t="s">
        <v>52</v>
      </c>
      <c r="C8" s="7" t="s">
        <v>53</v>
      </c>
      <c r="D8" s="8" t="s">
        <v>47</v>
      </c>
      <c r="E8" s="8" t="s">
        <v>54</v>
      </c>
    </row>
    <row r="9" spans="2:14" ht="18" customHeight="1" x14ac:dyDescent="0.25">
      <c r="B9" s="9" t="s">
        <v>55</v>
      </c>
      <c r="C9" s="10" t="s">
        <v>56</v>
      </c>
      <c r="D9" s="11" t="s">
        <v>47</v>
      </c>
      <c r="E9" s="11"/>
    </row>
    <row r="10" spans="2:14" ht="18" customHeight="1" x14ac:dyDescent="0.25">
      <c r="B10" s="6" t="s">
        <v>57</v>
      </c>
      <c r="C10" s="7">
        <v>3</v>
      </c>
      <c r="D10" s="8" t="s">
        <v>58</v>
      </c>
      <c r="E10" s="8" t="s">
        <v>59</v>
      </c>
    </row>
    <row r="13" spans="2:14" ht="27.75" customHeight="1" x14ac:dyDescent="0.25">
      <c r="B13" s="308" t="s">
        <v>60</v>
      </c>
      <c r="C13" s="308"/>
      <c r="D13" s="308"/>
      <c r="E13" s="308"/>
      <c r="F13" s="308"/>
      <c r="G13" s="308"/>
      <c r="H13" s="308"/>
      <c r="I13" s="308"/>
      <c r="J13" s="308"/>
      <c r="K13" s="308"/>
      <c r="L13" s="308"/>
      <c r="M13" s="308"/>
    </row>
    <row r="14" spans="2:14" ht="24" customHeight="1" x14ac:dyDescent="0.25">
      <c r="B14" s="12" t="s">
        <v>61</v>
      </c>
      <c r="C14" s="12" t="s">
        <v>62</v>
      </c>
      <c r="D14" s="12" t="s">
        <v>63</v>
      </c>
      <c r="E14" s="12" t="s">
        <v>64</v>
      </c>
      <c r="F14" s="12" t="s">
        <v>65</v>
      </c>
      <c r="G14" s="12" t="s">
        <v>66</v>
      </c>
      <c r="H14" s="12" t="s">
        <v>67</v>
      </c>
      <c r="I14" s="12" t="s">
        <v>68</v>
      </c>
      <c r="J14" s="12" t="s">
        <v>69</v>
      </c>
      <c r="K14" s="12" t="s">
        <v>70</v>
      </c>
      <c r="L14" s="12" t="s">
        <v>71</v>
      </c>
      <c r="M14" s="12" t="s">
        <v>72</v>
      </c>
      <c r="N14" s="12" t="s">
        <v>73</v>
      </c>
    </row>
    <row r="15" spans="2:14" ht="18" customHeight="1" x14ac:dyDescent="0.25">
      <c r="B15" s="13" t="s">
        <v>74</v>
      </c>
      <c r="C15" s="14">
        <v>812</v>
      </c>
      <c r="D15" s="14">
        <v>671</v>
      </c>
      <c r="E15" s="14">
        <v>744</v>
      </c>
      <c r="F15" s="14">
        <v>379</v>
      </c>
      <c r="G15" s="14">
        <v>169</v>
      </c>
      <c r="H15" s="14">
        <v>344</v>
      </c>
      <c r="I15" s="14">
        <v>314</v>
      </c>
      <c r="J15" s="14">
        <v>782</v>
      </c>
      <c r="K15" s="14">
        <v>854</v>
      </c>
      <c r="L15" s="14">
        <v>647</v>
      </c>
      <c r="M15" s="14">
        <v>704</v>
      </c>
      <c r="N15" s="14">
        <v>797</v>
      </c>
    </row>
    <row r="16" spans="2:14" ht="18" customHeight="1" x14ac:dyDescent="0.25">
      <c r="B16" s="15" t="s">
        <v>75</v>
      </c>
      <c r="C16" s="14">
        <v>255</v>
      </c>
      <c r="D16" s="14">
        <v>567</v>
      </c>
      <c r="E16" s="14">
        <v>194</v>
      </c>
      <c r="F16" s="14">
        <v>487</v>
      </c>
      <c r="G16" s="14">
        <v>821</v>
      </c>
      <c r="H16" s="14">
        <v>259</v>
      </c>
      <c r="I16" s="14">
        <v>187</v>
      </c>
      <c r="J16" s="14">
        <v>411</v>
      </c>
      <c r="K16" s="14">
        <v>613</v>
      </c>
      <c r="L16" s="14">
        <v>230</v>
      </c>
      <c r="M16" s="14">
        <v>496</v>
      </c>
      <c r="N16" s="14">
        <v>499</v>
      </c>
    </row>
    <row r="17" spans="2:14" ht="18" customHeight="1" x14ac:dyDescent="0.25">
      <c r="B17" s="13" t="s">
        <v>76</v>
      </c>
      <c r="C17" s="14">
        <v>707</v>
      </c>
      <c r="D17" s="14">
        <v>711</v>
      </c>
      <c r="E17" s="14">
        <v>615</v>
      </c>
      <c r="F17" s="14">
        <v>177</v>
      </c>
      <c r="G17" s="14">
        <v>743</v>
      </c>
      <c r="H17" s="14">
        <v>572</v>
      </c>
      <c r="I17" s="14">
        <v>850</v>
      </c>
      <c r="J17" s="14">
        <v>485</v>
      </c>
      <c r="K17" s="14">
        <v>619</v>
      </c>
      <c r="L17" s="14">
        <v>567</v>
      </c>
      <c r="M17" s="14">
        <v>474</v>
      </c>
      <c r="N17" s="14">
        <v>861</v>
      </c>
    </row>
    <row r="18" spans="2:14" ht="18" customHeight="1" x14ac:dyDescent="0.25">
      <c r="B18" s="15" t="s">
        <v>77</v>
      </c>
      <c r="C18" s="14">
        <v>201</v>
      </c>
      <c r="D18" s="14">
        <v>182</v>
      </c>
      <c r="E18" s="14">
        <v>479</v>
      </c>
      <c r="F18" s="14">
        <v>769</v>
      </c>
      <c r="G18" s="14">
        <v>252</v>
      </c>
      <c r="H18" s="14">
        <v>349</v>
      </c>
      <c r="I18" s="14">
        <v>412</v>
      </c>
      <c r="J18" s="14">
        <v>223</v>
      </c>
      <c r="K18" s="14">
        <v>190</v>
      </c>
      <c r="L18" s="14">
        <v>192</v>
      </c>
      <c r="M18" s="14">
        <v>864</v>
      </c>
      <c r="N18" s="14">
        <v>506</v>
      </c>
    </row>
    <row r="19" spans="2:14" ht="18" customHeight="1" x14ac:dyDescent="0.25">
      <c r="B19" s="13" t="s">
        <v>78</v>
      </c>
      <c r="C19" s="14">
        <v>817</v>
      </c>
      <c r="D19" s="14">
        <v>343</v>
      </c>
      <c r="E19" s="14">
        <v>197</v>
      </c>
      <c r="F19" s="14">
        <v>646</v>
      </c>
      <c r="G19" s="14">
        <v>492</v>
      </c>
      <c r="H19" s="14">
        <v>453</v>
      </c>
      <c r="I19" s="14">
        <v>583</v>
      </c>
      <c r="J19" s="14">
        <v>832</v>
      </c>
      <c r="K19" s="14">
        <v>388</v>
      </c>
      <c r="L19" s="14">
        <v>505</v>
      </c>
      <c r="M19" s="14">
        <v>289</v>
      </c>
      <c r="N19" s="14">
        <v>704</v>
      </c>
    </row>
    <row r="20" spans="2:14" ht="18" customHeight="1" x14ac:dyDescent="0.25">
      <c r="B20" s="15" t="s">
        <v>79</v>
      </c>
      <c r="C20" s="14">
        <v>609</v>
      </c>
      <c r="D20" s="14">
        <v>304</v>
      </c>
      <c r="E20" s="14">
        <v>217</v>
      </c>
      <c r="F20" s="14">
        <v>430</v>
      </c>
      <c r="G20" s="14">
        <v>329</v>
      </c>
      <c r="H20" s="14">
        <v>386</v>
      </c>
      <c r="I20" s="14">
        <v>447</v>
      </c>
      <c r="J20" s="14">
        <v>281</v>
      </c>
      <c r="K20" s="14">
        <v>376</v>
      </c>
      <c r="L20" s="14">
        <v>235</v>
      </c>
      <c r="M20" s="14">
        <v>292</v>
      </c>
      <c r="N20" s="14">
        <v>874</v>
      </c>
    </row>
    <row r="21" spans="2:14" ht="18" customHeight="1" x14ac:dyDescent="0.25">
      <c r="B21" s="13" t="s">
        <v>80</v>
      </c>
      <c r="C21" s="14">
        <v>283</v>
      </c>
      <c r="D21" s="14">
        <v>791</v>
      </c>
      <c r="E21" s="14">
        <v>215</v>
      </c>
      <c r="F21" s="14">
        <v>553</v>
      </c>
      <c r="G21" s="14">
        <v>416</v>
      </c>
      <c r="H21" s="14">
        <v>632</v>
      </c>
      <c r="I21" s="14">
        <v>876</v>
      </c>
      <c r="J21" s="14">
        <v>869</v>
      </c>
      <c r="K21" s="14">
        <v>560</v>
      </c>
      <c r="L21" s="14">
        <v>624</v>
      </c>
      <c r="M21" s="14">
        <v>530</v>
      </c>
      <c r="N21" s="14">
        <v>830</v>
      </c>
    </row>
    <row r="22" spans="2:14" ht="18" customHeight="1" x14ac:dyDescent="0.25">
      <c r="B22" s="15" t="s">
        <v>81</v>
      </c>
      <c r="C22" s="14">
        <v>300</v>
      </c>
      <c r="D22" s="14">
        <v>214</v>
      </c>
      <c r="E22" s="14">
        <v>683</v>
      </c>
      <c r="F22" s="14">
        <v>621</v>
      </c>
      <c r="G22" s="14">
        <v>644</v>
      </c>
      <c r="H22" s="14">
        <v>506</v>
      </c>
      <c r="I22" s="14">
        <v>215</v>
      </c>
      <c r="J22" s="14">
        <v>198</v>
      </c>
      <c r="K22" s="14">
        <v>376</v>
      </c>
      <c r="L22" s="14">
        <v>767</v>
      </c>
      <c r="M22" s="14">
        <v>280</v>
      </c>
      <c r="N22" s="14">
        <v>643</v>
      </c>
    </row>
    <row r="23" spans="2:14" ht="21.75" customHeight="1" x14ac:dyDescent="0.25">
      <c r="B23" s="16" t="s">
        <v>82</v>
      </c>
      <c r="C23" s="17">
        <f t="shared" ref="C23:N23" si="0">SUM(C15:C22)</f>
        <v>3984</v>
      </c>
      <c r="D23" s="17">
        <f t="shared" si="0"/>
        <v>3783</v>
      </c>
      <c r="E23" s="17">
        <f t="shared" si="0"/>
        <v>3344</v>
      </c>
      <c r="F23" s="17">
        <f t="shared" si="0"/>
        <v>4062</v>
      </c>
      <c r="G23" s="17">
        <f t="shared" si="0"/>
        <v>3866</v>
      </c>
      <c r="H23" s="17">
        <f t="shared" si="0"/>
        <v>3501</v>
      </c>
      <c r="I23" s="17">
        <f t="shared" si="0"/>
        <v>3884</v>
      </c>
      <c r="J23" s="17">
        <f t="shared" si="0"/>
        <v>4081</v>
      </c>
      <c r="K23" s="17">
        <f t="shared" si="0"/>
        <v>3976</v>
      </c>
      <c r="L23" s="17">
        <f t="shared" si="0"/>
        <v>3767</v>
      </c>
      <c r="M23" s="17">
        <f t="shared" si="0"/>
        <v>3929</v>
      </c>
      <c r="N23" s="17">
        <f t="shared" si="0"/>
        <v>5714</v>
      </c>
    </row>
    <row r="26" spans="2:14" ht="27.75" customHeight="1" x14ac:dyDescent="0.25">
      <c r="B26" s="309" t="s">
        <v>83</v>
      </c>
      <c r="C26" s="309"/>
      <c r="D26" s="309"/>
      <c r="E26" s="309"/>
      <c r="F26" s="309"/>
      <c r="G26" s="309"/>
      <c r="H26" s="309"/>
      <c r="I26" s="309"/>
      <c r="J26" s="309"/>
      <c r="K26" s="309"/>
      <c r="L26" s="309"/>
      <c r="M26" s="309"/>
    </row>
    <row r="27" spans="2:14" ht="24" customHeight="1" x14ac:dyDescent="0.25">
      <c r="B27" s="18" t="s">
        <v>84</v>
      </c>
      <c r="C27" s="18" t="s">
        <v>62</v>
      </c>
      <c r="D27" s="18" t="s">
        <v>63</v>
      </c>
      <c r="E27" s="18" t="s">
        <v>64</v>
      </c>
      <c r="F27" s="18" t="s">
        <v>65</v>
      </c>
      <c r="G27" s="18" t="s">
        <v>66</v>
      </c>
      <c r="H27" s="18" t="s">
        <v>67</v>
      </c>
      <c r="I27" s="18" t="s">
        <v>68</v>
      </c>
      <c r="J27" s="18" t="s">
        <v>69</v>
      </c>
      <c r="K27" s="18" t="s">
        <v>70</v>
      </c>
      <c r="L27" s="18" t="s">
        <v>71</v>
      </c>
      <c r="M27" s="18" t="s">
        <v>72</v>
      </c>
      <c r="N27" s="18" t="s">
        <v>73</v>
      </c>
    </row>
    <row r="28" spans="2:14" ht="18" customHeight="1" x14ac:dyDescent="0.25">
      <c r="B28" s="13" t="s">
        <v>85</v>
      </c>
      <c r="C28" s="14">
        <v>71</v>
      </c>
      <c r="D28" s="14">
        <v>90</v>
      </c>
      <c r="E28" s="14">
        <v>78</v>
      </c>
      <c r="F28" s="14">
        <v>78</v>
      </c>
      <c r="G28" s="14">
        <v>65</v>
      </c>
      <c r="H28" s="14">
        <v>68</v>
      </c>
      <c r="I28" s="14">
        <v>59</v>
      </c>
      <c r="J28" s="14">
        <v>68</v>
      </c>
      <c r="K28" s="14">
        <v>85</v>
      </c>
      <c r="L28" s="14">
        <v>87</v>
      </c>
      <c r="M28" s="14">
        <v>73</v>
      </c>
      <c r="N28" s="14">
        <v>72</v>
      </c>
    </row>
    <row r="29" spans="2:14" ht="18" customHeight="1" x14ac:dyDescent="0.25">
      <c r="B29" s="19" t="s">
        <v>86</v>
      </c>
      <c r="C29" s="14">
        <v>68</v>
      </c>
      <c r="D29" s="14">
        <v>56</v>
      </c>
      <c r="E29" s="14">
        <v>56</v>
      </c>
      <c r="F29" s="14">
        <v>66</v>
      </c>
      <c r="G29" s="14">
        <v>69</v>
      </c>
      <c r="H29" s="14">
        <v>80</v>
      </c>
      <c r="I29" s="14">
        <v>89</v>
      </c>
      <c r="J29" s="14">
        <v>64</v>
      </c>
      <c r="K29" s="14">
        <v>59</v>
      </c>
      <c r="L29" s="14">
        <v>58</v>
      </c>
      <c r="M29" s="14">
        <v>79</v>
      </c>
      <c r="N29" s="14">
        <v>94</v>
      </c>
    </row>
    <row r="30" spans="2:14" ht="18" customHeight="1" x14ac:dyDescent="0.25">
      <c r="B30" s="13" t="s">
        <v>87</v>
      </c>
      <c r="C30" s="14">
        <v>86</v>
      </c>
      <c r="D30" s="14">
        <v>65</v>
      </c>
      <c r="E30" s="14">
        <v>60</v>
      </c>
      <c r="F30" s="14">
        <v>91</v>
      </c>
      <c r="G30" s="14">
        <v>65</v>
      </c>
      <c r="H30" s="14">
        <v>97</v>
      </c>
      <c r="I30" s="14">
        <v>80</v>
      </c>
      <c r="J30" s="14">
        <v>95</v>
      </c>
      <c r="K30" s="14">
        <v>92</v>
      </c>
      <c r="L30" s="14">
        <v>87</v>
      </c>
      <c r="M30" s="14">
        <v>55</v>
      </c>
      <c r="N30" s="14">
        <v>83</v>
      </c>
    </row>
    <row r="31" spans="2:14" ht="18" customHeight="1" x14ac:dyDescent="0.25">
      <c r="B31" s="19" t="s">
        <v>88</v>
      </c>
      <c r="C31" s="14">
        <v>92</v>
      </c>
      <c r="D31" s="14">
        <v>92</v>
      </c>
      <c r="E31" s="14">
        <v>80</v>
      </c>
      <c r="F31" s="14">
        <v>80</v>
      </c>
      <c r="G31" s="14">
        <v>89</v>
      </c>
      <c r="H31" s="14">
        <v>96</v>
      </c>
      <c r="I31" s="14">
        <v>77</v>
      </c>
      <c r="J31" s="14">
        <v>92</v>
      </c>
      <c r="K31" s="14">
        <v>75</v>
      </c>
      <c r="L31" s="14">
        <v>60</v>
      </c>
      <c r="M31" s="14">
        <v>56</v>
      </c>
      <c r="N31" s="14">
        <v>67</v>
      </c>
    </row>
    <row r="32" spans="2:14" ht="18" customHeight="1" x14ac:dyDescent="0.25">
      <c r="B32" s="13" t="s">
        <v>89</v>
      </c>
      <c r="C32" s="14">
        <v>88</v>
      </c>
      <c r="D32" s="14">
        <v>60</v>
      </c>
      <c r="E32" s="14">
        <v>63</v>
      </c>
      <c r="F32" s="14">
        <v>85</v>
      </c>
      <c r="G32" s="14">
        <v>59</v>
      </c>
      <c r="H32" s="14">
        <v>87</v>
      </c>
      <c r="I32" s="14">
        <v>60</v>
      </c>
      <c r="J32" s="14">
        <v>58</v>
      </c>
      <c r="K32" s="14">
        <v>62</v>
      </c>
      <c r="L32" s="14">
        <v>92</v>
      </c>
      <c r="M32" s="14">
        <v>65</v>
      </c>
      <c r="N32" s="14">
        <v>60</v>
      </c>
    </row>
    <row r="33" spans="2:14" ht="18" customHeight="1" x14ac:dyDescent="0.25">
      <c r="B33" s="19" t="s">
        <v>90</v>
      </c>
      <c r="C33" s="14">
        <v>71</v>
      </c>
      <c r="D33" s="14">
        <v>83</v>
      </c>
      <c r="E33" s="14">
        <v>63</v>
      </c>
      <c r="F33" s="14">
        <v>84</v>
      </c>
      <c r="G33" s="14">
        <v>92</v>
      </c>
      <c r="H33" s="14">
        <v>58</v>
      </c>
      <c r="I33" s="14">
        <v>97</v>
      </c>
      <c r="J33" s="14">
        <v>63</v>
      </c>
      <c r="K33" s="14">
        <v>83</v>
      </c>
      <c r="L33" s="14">
        <v>60</v>
      </c>
      <c r="M33" s="14">
        <v>73</v>
      </c>
      <c r="N33" s="14">
        <v>86</v>
      </c>
    </row>
    <row r="34" spans="2:14" ht="18" customHeight="1" x14ac:dyDescent="0.25">
      <c r="B34" s="13" t="s">
        <v>91</v>
      </c>
      <c r="C34" s="14">
        <v>59</v>
      </c>
      <c r="D34" s="14">
        <v>88</v>
      </c>
      <c r="E34" s="14">
        <v>73</v>
      </c>
      <c r="F34" s="14">
        <v>71</v>
      </c>
      <c r="G34" s="14">
        <v>64</v>
      </c>
      <c r="H34" s="14">
        <v>76</v>
      </c>
      <c r="I34" s="14">
        <v>57</v>
      </c>
      <c r="J34" s="14">
        <v>62</v>
      </c>
      <c r="K34" s="14">
        <v>92</v>
      </c>
      <c r="L34" s="14">
        <v>56</v>
      </c>
      <c r="M34" s="14">
        <v>63</v>
      </c>
      <c r="N34" s="14">
        <v>89</v>
      </c>
    </row>
    <row r="35" spans="2:14" ht="18" customHeight="1" x14ac:dyDescent="0.25">
      <c r="B35" s="19" t="s">
        <v>92</v>
      </c>
      <c r="C35" s="14">
        <v>55</v>
      </c>
      <c r="D35" s="14">
        <v>89</v>
      </c>
      <c r="E35" s="14">
        <v>87</v>
      </c>
      <c r="F35" s="14">
        <v>75</v>
      </c>
      <c r="G35" s="14">
        <v>96</v>
      </c>
      <c r="H35" s="14">
        <v>80</v>
      </c>
      <c r="I35" s="14">
        <v>65</v>
      </c>
      <c r="J35" s="14">
        <v>58</v>
      </c>
      <c r="K35" s="14">
        <v>55</v>
      </c>
      <c r="L35" s="14">
        <v>98</v>
      </c>
      <c r="M35" s="14">
        <v>90</v>
      </c>
      <c r="N35" s="14">
        <v>93</v>
      </c>
    </row>
    <row r="36" spans="2:14" ht="18" customHeight="1" x14ac:dyDescent="0.25">
      <c r="B36" s="13" t="s">
        <v>93</v>
      </c>
      <c r="C36" s="14">
        <v>80</v>
      </c>
      <c r="D36" s="14">
        <v>78</v>
      </c>
      <c r="E36" s="14">
        <v>58</v>
      </c>
      <c r="F36" s="14">
        <v>91</v>
      </c>
      <c r="G36" s="14">
        <v>63</v>
      </c>
      <c r="H36" s="14">
        <v>94</v>
      </c>
      <c r="I36" s="14">
        <v>84</v>
      </c>
      <c r="J36" s="14">
        <v>67</v>
      </c>
      <c r="K36" s="14">
        <v>65</v>
      </c>
      <c r="L36" s="14">
        <v>81</v>
      </c>
      <c r="M36" s="14">
        <v>96</v>
      </c>
      <c r="N36" s="14">
        <v>94</v>
      </c>
    </row>
    <row r="37" spans="2:14" ht="18" customHeight="1" x14ac:dyDescent="0.25">
      <c r="B37" s="19" t="s">
        <v>94</v>
      </c>
      <c r="C37" s="14">
        <v>80</v>
      </c>
      <c r="D37" s="14">
        <v>84</v>
      </c>
      <c r="E37" s="14">
        <v>56</v>
      </c>
      <c r="F37" s="14">
        <v>79</v>
      </c>
      <c r="G37" s="14">
        <v>88</v>
      </c>
      <c r="H37" s="14">
        <v>59</v>
      </c>
      <c r="I37" s="14">
        <v>98</v>
      </c>
      <c r="J37" s="14">
        <v>65</v>
      </c>
      <c r="K37" s="14">
        <v>71</v>
      </c>
      <c r="L37" s="14">
        <v>72</v>
      </c>
      <c r="M37" s="14">
        <v>78</v>
      </c>
      <c r="N37" s="14">
        <v>63</v>
      </c>
    </row>
    <row r="38" spans="2:14" ht="21.75" customHeight="1" x14ac:dyDescent="0.25">
      <c r="B38" s="20" t="s">
        <v>95</v>
      </c>
      <c r="C38" s="21">
        <f t="shared" ref="C38:N38" si="1">SUM(C28:C37)</f>
        <v>750</v>
      </c>
      <c r="D38" s="21">
        <f t="shared" si="1"/>
        <v>785</v>
      </c>
      <c r="E38" s="21">
        <f t="shared" si="1"/>
        <v>674</v>
      </c>
      <c r="F38" s="21">
        <f t="shared" si="1"/>
        <v>800</v>
      </c>
      <c r="G38" s="21">
        <f t="shared" si="1"/>
        <v>750</v>
      </c>
      <c r="H38" s="21">
        <f t="shared" si="1"/>
        <v>795</v>
      </c>
      <c r="I38" s="21">
        <f t="shared" si="1"/>
        <v>766</v>
      </c>
      <c r="J38" s="21">
        <f t="shared" si="1"/>
        <v>692</v>
      </c>
      <c r="K38" s="21">
        <f t="shared" si="1"/>
        <v>739</v>
      </c>
      <c r="L38" s="21">
        <f t="shared" si="1"/>
        <v>751</v>
      </c>
      <c r="M38" s="21">
        <f t="shared" si="1"/>
        <v>728</v>
      </c>
      <c r="N38" s="21">
        <f t="shared" si="1"/>
        <v>801</v>
      </c>
    </row>
    <row r="41" spans="2:14" ht="27.75" customHeight="1" x14ac:dyDescent="0.25">
      <c r="B41" s="310" t="s">
        <v>96</v>
      </c>
      <c r="C41" s="310"/>
      <c r="D41" s="310"/>
      <c r="E41" s="310"/>
      <c r="F41" s="310"/>
      <c r="G41" s="310"/>
      <c r="H41" s="310"/>
      <c r="I41" s="310"/>
      <c r="J41" s="310"/>
      <c r="K41" s="310"/>
      <c r="L41" s="310"/>
      <c r="M41" s="310"/>
    </row>
    <row r="42" spans="2:14" ht="24" customHeight="1" x14ac:dyDescent="0.25">
      <c r="B42" s="22" t="s">
        <v>97</v>
      </c>
      <c r="C42" s="22" t="s">
        <v>62</v>
      </c>
      <c r="D42" s="22" t="s">
        <v>63</v>
      </c>
      <c r="E42" s="22" t="s">
        <v>64</v>
      </c>
      <c r="F42" s="22" t="s">
        <v>65</v>
      </c>
      <c r="G42" s="22" t="s">
        <v>66</v>
      </c>
      <c r="H42" s="22" t="s">
        <v>67</v>
      </c>
      <c r="I42" s="22" t="s">
        <v>68</v>
      </c>
      <c r="J42" s="22" t="s">
        <v>69</v>
      </c>
      <c r="K42" s="22" t="s">
        <v>70</v>
      </c>
      <c r="L42" s="22" t="s">
        <v>71</v>
      </c>
      <c r="M42" s="22" t="s">
        <v>72</v>
      </c>
      <c r="N42" s="22" t="s">
        <v>73</v>
      </c>
    </row>
    <row r="43" spans="2:14" ht="18" customHeight="1" x14ac:dyDescent="0.25">
      <c r="B43" s="13" t="s">
        <v>98</v>
      </c>
      <c r="C43" s="14">
        <v>90</v>
      </c>
      <c r="D43" s="14">
        <v>88</v>
      </c>
      <c r="E43" s="14">
        <v>91</v>
      </c>
      <c r="F43" s="14">
        <v>95</v>
      </c>
      <c r="G43" s="14">
        <v>92</v>
      </c>
      <c r="H43" s="14">
        <v>95</v>
      </c>
      <c r="I43" s="14">
        <v>95</v>
      </c>
      <c r="J43" s="14">
        <v>85</v>
      </c>
      <c r="K43" s="14">
        <v>87</v>
      </c>
      <c r="L43" s="14">
        <v>81</v>
      </c>
      <c r="M43" s="14">
        <v>84</v>
      </c>
      <c r="N43" s="14">
        <v>89</v>
      </c>
    </row>
    <row r="44" spans="2:14" ht="18" customHeight="1" x14ac:dyDescent="0.25">
      <c r="B44" s="23" t="s">
        <v>99</v>
      </c>
      <c r="C44" s="14">
        <v>83</v>
      </c>
      <c r="D44" s="14">
        <v>88</v>
      </c>
      <c r="E44" s="14">
        <v>94</v>
      </c>
      <c r="F44" s="14">
        <v>95</v>
      </c>
      <c r="G44" s="14">
        <v>86</v>
      </c>
      <c r="H44" s="14">
        <v>90</v>
      </c>
      <c r="I44" s="14">
        <v>96</v>
      </c>
      <c r="J44" s="14">
        <v>92</v>
      </c>
      <c r="K44" s="14">
        <v>99</v>
      </c>
      <c r="L44" s="14">
        <v>78</v>
      </c>
      <c r="M44" s="14">
        <v>90</v>
      </c>
      <c r="N44" s="14">
        <v>78</v>
      </c>
    </row>
    <row r="45" spans="2:14" ht="18" customHeight="1" x14ac:dyDescent="0.25">
      <c r="B45" s="13" t="s">
        <v>100</v>
      </c>
      <c r="C45" s="14">
        <v>79</v>
      </c>
      <c r="D45" s="14">
        <v>94</v>
      </c>
      <c r="E45" s="14">
        <v>77</v>
      </c>
      <c r="F45" s="14">
        <v>88</v>
      </c>
      <c r="G45" s="14">
        <v>94</v>
      </c>
      <c r="H45" s="14">
        <v>89</v>
      </c>
      <c r="I45" s="14">
        <v>97</v>
      </c>
      <c r="J45" s="14">
        <v>96</v>
      </c>
      <c r="K45" s="14">
        <v>77</v>
      </c>
      <c r="L45" s="14">
        <v>96</v>
      </c>
      <c r="M45" s="14">
        <v>92</v>
      </c>
      <c r="N45" s="14">
        <v>89</v>
      </c>
    </row>
    <row r="46" spans="2:14" ht="18" customHeight="1" x14ac:dyDescent="0.25">
      <c r="B46" s="23" t="s">
        <v>101</v>
      </c>
      <c r="C46" s="14">
        <v>97</v>
      </c>
      <c r="D46" s="14">
        <v>94</v>
      </c>
      <c r="E46" s="14">
        <v>78</v>
      </c>
      <c r="F46" s="14">
        <v>98</v>
      </c>
      <c r="G46" s="14">
        <v>94</v>
      </c>
      <c r="H46" s="14">
        <v>98</v>
      </c>
      <c r="I46" s="14">
        <v>96</v>
      </c>
      <c r="J46" s="14">
        <v>96</v>
      </c>
      <c r="K46" s="14">
        <v>91</v>
      </c>
      <c r="L46" s="14">
        <v>93</v>
      </c>
      <c r="M46" s="14">
        <v>95</v>
      </c>
      <c r="N46" s="14">
        <v>83</v>
      </c>
    </row>
    <row r="47" spans="2:14" ht="18" customHeight="1" x14ac:dyDescent="0.25">
      <c r="B47" s="13" t="s">
        <v>102</v>
      </c>
      <c r="C47" s="14">
        <v>77</v>
      </c>
      <c r="D47" s="14">
        <v>80</v>
      </c>
      <c r="E47" s="14">
        <v>95</v>
      </c>
      <c r="F47" s="14">
        <v>83</v>
      </c>
      <c r="G47" s="14">
        <v>97</v>
      </c>
      <c r="H47" s="14">
        <v>79</v>
      </c>
      <c r="I47" s="14">
        <v>95</v>
      </c>
      <c r="J47" s="14">
        <v>90</v>
      </c>
      <c r="K47" s="14">
        <v>96</v>
      </c>
      <c r="L47" s="14">
        <v>84</v>
      </c>
      <c r="M47" s="14">
        <v>90</v>
      </c>
      <c r="N47" s="14">
        <v>82</v>
      </c>
    </row>
    <row r="48" spans="2:14" ht="18" customHeight="1" x14ac:dyDescent="0.25">
      <c r="B48" s="23" t="s">
        <v>103</v>
      </c>
      <c r="C48" s="14">
        <v>88</v>
      </c>
      <c r="D48" s="14">
        <v>85</v>
      </c>
      <c r="E48" s="14">
        <v>87</v>
      </c>
      <c r="F48" s="14">
        <v>92</v>
      </c>
      <c r="G48" s="14">
        <v>87</v>
      </c>
      <c r="H48" s="14">
        <v>98</v>
      </c>
      <c r="I48" s="14">
        <v>79</v>
      </c>
      <c r="J48" s="14">
        <v>89</v>
      </c>
      <c r="K48" s="14">
        <v>89</v>
      </c>
      <c r="L48" s="14">
        <v>81</v>
      </c>
      <c r="M48" s="14">
        <v>84</v>
      </c>
      <c r="N48" s="14">
        <v>95</v>
      </c>
    </row>
    <row r="49" spans="2:14" ht="18" customHeight="1" x14ac:dyDescent="0.25">
      <c r="B49" s="13" t="s">
        <v>104</v>
      </c>
      <c r="C49" s="14">
        <v>95</v>
      </c>
      <c r="D49" s="14">
        <v>83</v>
      </c>
      <c r="E49" s="14">
        <v>97</v>
      </c>
      <c r="F49" s="14">
        <v>88</v>
      </c>
      <c r="G49" s="14">
        <v>96</v>
      </c>
      <c r="H49" s="14">
        <v>84</v>
      </c>
      <c r="I49" s="14">
        <v>80</v>
      </c>
      <c r="J49" s="14">
        <v>80</v>
      </c>
      <c r="K49" s="14">
        <v>81</v>
      </c>
      <c r="L49" s="14">
        <v>77</v>
      </c>
      <c r="M49" s="14">
        <v>92</v>
      </c>
      <c r="N49" s="14">
        <v>98</v>
      </c>
    </row>
    <row r="50" spans="2:14" ht="18" customHeight="1" x14ac:dyDescent="0.25">
      <c r="B50" s="23" t="s">
        <v>105</v>
      </c>
      <c r="C50" s="14">
        <v>90</v>
      </c>
      <c r="D50" s="14">
        <v>97</v>
      </c>
      <c r="E50" s="14">
        <v>86</v>
      </c>
      <c r="F50" s="14">
        <v>95</v>
      </c>
      <c r="G50" s="14">
        <v>93</v>
      </c>
      <c r="H50" s="14">
        <v>85</v>
      </c>
      <c r="I50" s="14">
        <v>83</v>
      </c>
      <c r="J50" s="14">
        <v>97</v>
      </c>
      <c r="K50" s="14">
        <v>79</v>
      </c>
      <c r="L50" s="14">
        <v>94</v>
      </c>
      <c r="M50" s="14">
        <v>99</v>
      </c>
      <c r="N50" s="14">
        <v>98</v>
      </c>
    </row>
    <row r="51" spans="2:14" ht="18" customHeight="1" x14ac:dyDescent="0.25">
      <c r="B51" s="13" t="s">
        <v>106</v>
      </c>
      <c r="C51" s="14">
        <v>77</v>
      </c>
      <c r="D51" s="14">
        <v>94</v>
      </c>
      <c r="E51" s="14">
        <v>94</v>
      </c>
      <c r="F51" s="14">
        <v>87</v>
      </c>
      <c r="G51" s="14">
        <v>81</v>
      </c>
      <c r="H51" s="14">
        <v>97</v>
      </c>
      <c r="I51" s="14">
        <v>83</v>
      </c>
      <c r="J51" s="14">
        <v>91</v>
      </c>
      <c r="K51" s="14">
        <v>80</v>
      </c>
      <c r="L51" s="14">
        <v>98</v>
      </c>
      <c r="M51" s="14">
        <v>77</v>
      </c>
      <c r="N51" s="14">
        <v>97</v>
      </c>
    </row>
    <row r="52" spans="2:14" ht="18" customHeight="1" x14ac:dyDescent="0.25">
      <c r="B52" s="23" t="s">
        <v>107</v>
      </c>
      <c r="C52" s="14">
        <v>77</v>
      </c>
      <c r="D52" s="14">
        <v>83</v>
      </c>
      <c r="E52" s="14">
        <v>94</v>
      </c>
      <c r="F52" s="14">
        <v>97</v>
      </c>
      <c r="G52" s="14">
        <v>85</v>
      </c>
      <c r="H52" s="14">
        <v>86</v>
      </c>
      <c r="I52" s="14">
        <v>77</v>
      </c>
      <c r="J52" s="14">
        <v>96</v>
      </c>
      <c r="K52" s="14">
        <v>94</v>
      </c>
      <c r="L52" s="14">
        <v>91</v>
      </c>
      <c r="M52" s="14">
        <v>94</v>
      </c>
      <c r="N52" s="14">
        <v>98</v>
      </c>
    </row>
    <row r="53" spans="2:14" ht="21.75" customHeight="1" x14ac:dyDescent="0.25">
      <c r="B53" s="24" t="s">
        <v>108</v>
      </c>
      <c r="C53" s="25">
        <f t="shared" ref="C53:N53" si="2">C43+C44+C45-C46-C47-C48-C49-C50+C51-C52</f>
        <v>-195</v>
      </c>
      <c r="D53" s="25">
        <f t="shared" si="2"/>
        <v>-158</v>
      </c>
      <c r="E53" s="25">
        <f t="shared" si="2"/>
        <v>-181</v>
      </c>
      <c r="F53" s="25">
        <f t="shared" si="2"/>
        <v>-188</v>
      </c>
      <c r="G53" s="25">
        <f t="shared" si="2"/>
        <v>-199</v>
      </c>
      <c r="H53" s="25">
        <f t="shared" si="2"/>
        <v>-159</v>
      </c>
      <c r="I53" s="25">
        <f t="shared" si="2"/>
        <v>-139</v>
      </c>
      <c r="J53" s="25">
        <f t="shared" si="2"/>
        <v>-184</v>
      </c>
      <c r="K53" s="25">
        <f t="shared" si="2"/>
        <v>-187</v>
      </c>
      <c r="L53" s="25">
        <f t="shared" si="2"/>
        <v>-167</v>
      </c>
      <c r="M53" s="25">
        <f t="shared" si="2"/>
        <v>-211</v>
      </c>
      <c r="N53" s="25">
        <f t="shared" si="2"/>
        <v>-201</v>
      </c>
    </row>
    <row r="56" spans="2:14" ht="27.75" customHeight="1" x14ac:dyDescent="0.25">
      <c r="B56" s="306" t="s">
        <v>109</v>
      </c>
      <c r="C56" s="306"/>
      <c r="D56" s="306"/>
      <c r="E56" s="306"/>
      <c r="F56" s="306"/>
      <c r="G56" s="306"/>
      <c r="H56" s="306"/>
      <c r="I56" s="306"/>
      <c r="J56" s="306"/>
      <c r="K56" s="306"/>
      <c r="L56" s="306"/>
      <c r="M56" s="306"/>
    </row>
    <row r="57" spans="2:14" ht="24" customHeight="1" x14ac:dyDescent="0.25">
      <c r="B57" s="26" t="s">
        <v>110</v>
      </c>
      <c r="C57" s="26" t="s">
        <v>62</v>
      </c>
      <c r="D57" s="26" t="s">
        <v>63</v>
      </c>
      <c r="E57" s="26" t="s">
        <v>64</v>
      </c>
      <c r="F57" s="26" t="s">
        <v>65</v>
      </c>
      <c r="G57" s="26" t="s">
        <v>66</v>
      </c>
      <c r="H57" s="26" t="s">
        <v>67</v>
      </c>
      <c r="I57" s="26" t="s">
        <v>68</v>
      </c>
      <c r="J57" s="26" t="s">
        <v>69</v>
      </c>
      <c r="K57" s="26" t="s">
        <v>70</v>
      </c>
      <c r="L57" s="26" t="s">
        <v>71</v>
      </c>
      <c r="M57" s="26" t="s">
        <v>72</v>
      </c>
      <c r="N57" s="26" t="s">
        <v>73</v>
      </c>
    </row>
    <row r="58" spans="2:14" ht="18" customHeight="1" x14ac:dyDescent="0.25">
      <c r="B58" s="13" t="s">
        <v>111</v>
      </c>
      <c r="C58" s="14">
        <v>47</v>
      </c>
      <c r="D58" s="14">
        <v>62</v>
      </c>
      <c r="E58" s="14">
        <v>43</v>
      </c>
      <c r="F58" s="14">
        <v>44</v>
      </c>
      <c r="G58" s="14">
        <v>43</v>
      </c>
      <c r="H58" s="14">
        <v>58</v>
      </c>
      <c r="I58" s="14">
        <v>61</v>
      </c>
      <c r="J58" s="14">
        <v>54</v>
      </c>
      <c r="K58" s="14">
        <v>46</v>
      </c>
      <c r="L58" s="14">
        <v>39</v>
      </c>
      <c r="M58" s="14">
        <v>48</v>
      </c>
      <c r="N58" s="14">
        <v>45</v>
      </c>
    </row>
    <row r="59" spans="2:14" ht="18" customHeight="1" x14ac:dyDescent="0.25">
      <c r="B59" s="27" t="s">
        <v>112</v>
      </c>
      <c r="C59" s="14">
        <v>36</v>
      </c>
      <c r="D59" s="14">
        <v>62</v>
      </c>
      <c r="E59" s="14">
        <v>36</v>
      </c>
      <c r="F59" s="14">
        <v>49</v>
      </c>
      <c r="G59" s="14">
        <v>43</v>
      </c>
      <c r="H59" s="14">
        <v>38</v>
      </c>
      <c r="I59" s="14">
        <v>37</v>
      </c>
      <c r="J59" s="14">
        <v>65</v>
      </c>
      <c r="K59" s="14">
        <v>55</v>
      </c>
      <c r="L59" s="14">
        <v>65</v>
      </c>
      <c r="M59" s="14">
        <v>53</v>
      </c>
      <c r="N59" s="14">
        <v>35</v>
      </c>
    </row>
    <row r="60" spans="2:14" ht="18" customHeight="1" x14ac:dyDescent="0.25">
      <c r="B60" s="13" t="s">
        <v>113</v>
      </c>
      <c r="C60" s="14">
        <v>37</v>
      </c>
      <c r="D60" s="14">
        <v>48</v>
      </c>
      <c r="E60" s="14">
        <v>56</v>
      </c>
      <c r="F60" s="14">
        <v>44</v>
      </c>
      <c r="G60" s="14">
        <v>53</v>
      </c>
      <c r="H60" s="14">
        <v>58</v>
      </c>
      <c r="I60" s="14">
        <v>59</v>
      </c>
      <c r="J60" s="14">
        <v>45</v>
      </c>
      <c r="K60" s="14">
        <v>42</v>
      </c>
      <c r="L60" s="14">
        <v>42</v>
      </c>
      <c r="M60" s="14">
        <v>44</v>
      </c>
      <c r="N60" s="14">
        <v>62</v>
      </c>
    </row>
    <row r="61" spans="2:14" ht="18" customHeight="1" x14ac:dyDescent="0.25">
      <c r="B61" s="27" t="s">
        <v>114</v>
      </c>
      <c r="C61" s="14">
        <v>45</v>
      </c>
      <c r="D61" s="14">
        <v>37</v>
      </c>
      <c r="E61" s="14">
        <v>60</v>
      </c>
      <c r="F61" s="14">
        <v>41</v>
      </c>
      <c r="G61" s="14">
        <v>41</v>
      </c>
      <c r="H61" s="14">
        <v>37</v>
      </c>
      <c r="I61" s="14">
        <v>53</v>
      </c>
      <c r="J61" s="14">
        <v>46</v>
      </c>
      <c r="K61" s="14">
        <v>59</v>
      </c>
      <c r="L61" s="14">
        <v>53</v>
      </c>
      <c r="M61" s="14">
        <v>65</v>
      </c>
      <c r="N61" s="14">
        <v>54</v>
      </c>
    </row>
    <row r="62" spans="2:14" ht="18" customHeight="1" x14ac:dyDescent="0.25">
      <c r="B62" s="13" t="s">
        <v>115</v>
      </c>
      <c r="C62" s="14">
        <v>60</v>
      </c>
      <c r="D62" s="14">
        <v>50</v>
      </c>
      <c r="E62" s="14">
        <v>65</v>
      </c>
      <c r="F62" s="14">
        <v>38</v>
      </c>
      <c r="G62" s="14">
        <v>35</v>
      </c>
      <c r="H62" s="14">
        <v>54</v>
      </c>
      <c r="I62" s="14">
        <v>61</v>
      </c>
      <c r="J62" s="14">
        <v>52</v>
      </c>
      <c r="K62" s="14">
        <v>60</v>
      </c>
      <c r="L62" s="14">
        <v>43</v>
      </c>
      <c r="M62" s="14">
        <v>38</v>
      </c>
      <c r="N62" s="14">
        <v>49</v>
      </c>
    </row>
    <row r="63" spans="2:14" ht="18" customHeight="1" x14ac:dyDescent="0.25">
      <c r="B63" s="27" t="s">
        <v>116</v>
      </c>
      <c r="C63" s="14">
        <v>63</v>
      </c>
      <c r="D63" s="14">
        <v>58</v>
      </c>
      <c r="E63" s="14">
        <v>42</v>
      </c>
      <c r="F63" s="14">
        <v>41</v>
      </c>
      <c r="G63" s="14">
        <v>61</v>
      </c>
      <c r="H63" s="14">
        <v>57</v>
      </c>
      <c r="I63" s="14">
        <v>60</v>
      </c>
      <c r="J63" s="14">
        <v>54</v>
      </c>
      <c r="K63" s="14">
        <v>40</v>
      </c>
      <c r="L63" s="14">
        <v>49</v>
      </c>
      <c r="M63" s="14">
        <v>36</v>
      </c>
      <c r="N63" s="14">
        <v>59</v>
      </c>
    </row>
    <row r="64" spans="2:14" ht="18" customHeight="1" x14ac:dyDescent="0.25">
      <c r="B64" s="13" t="s">
        <v>117</v>
      </c>
      <c r="C64" s="14">
        <v>61</v>
      </c>
      <c r="D64" s="14">
        <v>45</v>
      </c>
      <c r="E64" s="14">
        <v>37</v>
      </c>
      <c r="F64" s="14">
        <v>38</v>
      </c>
      <c r="G64" s="14">
        <v>38</v>
      </c>
      <c r="H64" s="14">
        <v>49</v>
      </c>
      <c r="I64" s="14">
        <v>40</v>
      </c>
      <c r="J64" s="14">
        <v>45</v>
      </c>
      <c r="K64" s="14">
        <v>40</v>
      </c>
      <c r="L64" s="14">
        <v>35</v>
      </c>
      <c r="M64" s="14">
        <v>51</v>
      </c>
      <c r="N64" s="14">
        <v>35</v>
      </c>
    </row>
    <row r="70" spans="2:14" ht="30" customHeight="1" x14ac:dyDescent="0.25">
      <c r="B70" s="305" t="s">
        <v>118</v>
      </c>
      <c r="C70" s="305"/>
      <c r="D70" s="305"/>
      <c r="E70" s="305"/>
      <c r="F70" s="305"/>
      <c r="G70" s="305"/>
      <c r="H70" s="305"/>
      <c r="I70" s="305"/>
      <c r="J70" s="305"/>
      <c r="K70" s="305"/>
      <c r="L70" s="305"/>
      <c r="M70" s="305"/>
    </row>
    <row r="71" spans="2:14" ht="25.5" customHeight="1" x14ac:dyDescent="0.25">
      <c r="B71" s="28" t="s">
        <v>119</v>
      </c>
      <c r="C71" s="28" t="s">
        <v>62</v>
      </c>
      <c r="D71" s="28" t="s">
        <v>63</v>
      </c>
      <c r="E71" s="28" t="s">
        <v>64</v>
      </c>
      <c r="F71" s="28" t="s">
        <v>65</v>
      </c>
      <c r="G71" s="28" t="s">
        <v>66</v>
      </c>
      <c r="H71" s="28" t="s">
        <v>67</v>
      </c>
      <c r="I71" s="28" t="s">
        <v>68</v>
      </c>
      <c r="J71" s="28" t="s">
        <v>69</v>
      </c>
      <c r="K71" s="28" t="s">
        <v>70</v>
      </c>
      <c r="L71" s="28" t="s">
        <v>71</v>
      </c>
      <c r="M71" s="28" t="s">
        <v>72</v>
      </c>
      <c r="N71" s="28" t="s">
        <v>73</v>
      </c>
    </row>
    <row r="72" spans="2:14" ht="18" customHeight="1" x14ac:dyDescent="0.25">
      <c r="B72" s="29" t="s">
        <v>120</v>
      </c>
      <c r="C72" s="30">
        <v>83</v>
      </c>
      <c r="D72" s="30">
        <v>55</v>
      </c>
      <c r="E72" s="30">
        <v>73</v>
      </c>
      <c r="F72" s="30">
        <v>73</v>
      </c>
      <c r="G72" s="30">
        <v>66</v>
      </c>
      <c r="H72" s="30">
        <v>74</v>
      </c>
      <c r="I72" s="30">
        <v>74</v>
      </c>
      <c r="J72" s="30">
        <v>83</v>
      </c>
      <c r="K72" s="30">
        <v>74</v>
      </c>
      <c r="L72" s="30">
        <v>76</v>
      </c>
      <c r="M72" s="30">
        <v>76</v>
      </c>
      <c r="N72" s="30">
        <v>81</v>
      </c>
    </row>
    <row r="73" spans="2:14" ht="18" customHeight="1" x14ac:dyDescent="0.25">
      <c r="B73" s="31" t="s">
        <v>121</v>
      </c>
      <c r="C73" s="30">
        <v>64</v>
      </c>
      <c r="D73" s="30">
        <v>86</v>
      </c>
      <c r="E73" s="30">
        <v>66</v>
      </c>
      <c r="F73" s="30">
        <v>59</v>
      </c>
      <c r="G73" s="30">
        <v>62</v>
      </c>
      <c r="H73" s="30">
        <v>66</v>
      </c>
      <c r="I73" s="30">
        <v>57</v>
      </c>
      <c r="J73" s="30">
        <v>69</v>
      </c>
      <c r="K73" s="30">
        <v>68</v>
      </c>
      <c r="L73" s="30">
        <v>87</v>
      </c>
      <c r="M73" s="30">
        <v>66</v>
      </c>
      <c r="N73" s="30">
        <v>80</v>
      </c>
    </row>
    <row r="74" spans="2:14" ht="18" customHeight="1" x14ac:dyDescent="0.25">
      <c r="B74" s="29" t="s">
        <v>122</v>
      </c>
      <c r="C74" s="30">
        <v>61</v>
      </c>
      <c r="D74" s="30">
        <v>81</v>
      </c>
      <c r="E74" s="30">
        <v>61</v>
      </c>
      <c r="F74" s="30">
        <v>59</v>
      </c>
      <c r="G74" s="30">
        <v>60</v>
      </c>
      <c r="H74" s="30">
        <v>88</v>
      </c>
      <c r="I74" s="30">
        <v>81</v>
      </c>
      <c r="J74" s="30">
        <v>78</v>
      </c>
      <c r="K74" s="30">
        <v>73</v>
      </c>
      <c r="L74" s="30">
        <v>73</v>
      </c>
      <c r="M74" s="30">
        <v>61</v>
      </c>
      <c r="N74" s="30">
        <v>75</v>
      </c>
    </row>
    <row r="75" spans="2:14" ht="18" customHeight="1" x14ac:dyDescent="0.25">
      <c r="B75" s="31" t="s">
        <v>123</v>
      </c>
      <c r="C75" s="30">
        <v>86</v>
      </c>
      <c r="D75" s="30">
        <v>64</v>
      </c>
      <c r="E75" s="30">
        <v>79</v>
      </c>
      <c r="F75" s="30">
        <v>87</v>
      </c>
      <c r="G75" s="30">
        <v>83</v>
      </c>
      <c r="H75" s="30">
        <v>68</v>
      </c>
      <c r="I75" s="30">
        <v>79</v>
      </c>
      <c r="J75" s="30">
        <v>78</v>
      </c>
      <c r="K75" s="30">
        <v>86</v>
      </c>
      <c r="L75" s="30">
        <v>87</v>
      </c>
      <c r="M75" s="30">
        <v>68</v>
      </c>
      <c r="N75" s="30">
        <v>64</v>
      </c>
    </row>
    <row r="76" spans="2:14" ht="18" customHeight="1" x14ac:dyDescent="0.25">
      <c r="B76" s="29" t="s">
        <v>124</v>
      </c>
      <c r="C76" s="30">
        <v>68</v>
      </c>
      <c r="D76" s="30">
        <v>71</v>
      </c>
      <c r="E76" s="30">
        <v>75</v>
      </c>
      <c r="F76" s="30">
        <v>64</v>
      </c>
      <c r="G76" s="30">
        <v>78</v>
      </c>
      <c r="H76" s="30">
        <v>61</v>
      </c>
      <c r="I76" s="30">
        <v>71</v>
      </c>
      <c r="J76" s="30">
        <v>76</v>
      </c>
      <c r="K76" s="30">
        <v>60</v>
      </c>
      <c r="L76" s="30">
        <v>75</v>
      </c>
      <c r="M76" s="30">
        <v>83</v>
      </c>
      <c r="N76" s="30">
        <v>57</v>
      </c>
    </row>
    <row r="77" spans="2:14" ht="18" customHeight="1" x14ac:dyDescent="0.25">
      <c r="B77" s="31" t="s">
        <v>125</v>
      </c>
      <c r="C77" s="30">
        <v>57</v>
      </c>
      <c r="D77" s="30">
        <v>72</v>
      </c>
      <c r="E77" s="30">
        <v>67</v>
      </c>
      <c r="F77" s="30">
        <v>76</v>
      </c>
      <c r="G77" s="30">
        <v>78</v>
      </c>
      <c r="H77" s="30">
        <v>65</v>
      </c>
      <c r="I77" s="30">
        <v>80</v>
      </c>
      <c r="J77" s="30">
        <v>57</v>
      </c>
      <c r="K77" s="30">
        <v>65</v>
      </c>
      <c r="L77" s="30">
        <v>69</v>
      </c>
      <c r="M77" s="30">
        <v>61</v>
      </c>
      <c r="N77" s="30">
        <v>88</v>
      </c>
    </row>
    <row r="80" spans="2:14" ht="30" customHeight="1" x14ac:dyDescent="0.25">
      <c r="B80" s="306" t="s">
        <v>126</v>
      </c>
      <c r="C80" s="306"/>
      <c r="D80" s="306"/>
      <c r="E80" s="306"/>
      <c r="F80" s="306"/>
      <c r="G80" s="306"/>
      <c r="H80" s="306"/>
      <c r="I80" s="306"/>
      <c r="J80" s="306"/>
      <c r="K80" s="306"/>
      <c r="L80" s="306"/>
      <c r="M80" s="306"/>
    </row>
    <row r="81" spans="2:14" ht="25.5" customHeight="1" x14ac:dyDescent="0.25">
      <c r="B81" s="26" t="s">
        <v>127</v>
      </c>
      <c r="C81" s="26" t="s">
        <v>62</v>
      </c>
      <c r="D81" s="26" t="s">
        <v>63</v>
      </c>
      <c r="E81" s="26" t="s">
        <v>64</v>
      </c>
      <c r="F81" s="26" t="s">
        <v>65</v>
      </c>
      <c r="G81" s="26" t="s">
        <v>66</v>
      </c>
      <c r="H81" s="26" t="s">
        <v>67</v>
      </c>
      <c r="I81" s="26" t="s">
        <v>68</v>
      </c>
      <c r="J81" s="26" t="s">
        <v>69</v>
      </c>
      <c r="K81" s="26" t="s">
        <v>70</v>
      </c>
      <c r="L81" s="26" t="s">
        <v>71</v>
      </c>
      <c r="M81" s="26" t="s">
        <v>72</v>
      </c>
      <c r="N81" s="26" t="s">
        <v>73</v>
      </c>
    </row>
    <row r="82" spans="2:14" ht="18" customHeight="1" x14ac:dyDescent="0.25">
      <c r="B82" s="32" t="s">
        <v>128</v>
      </c>
      <c r="C82" s="33">
        <v>50</v>
      </c>
      <c r="D82" s="33">
        <v>53</v>
      </c>
      <c r="E82" s="33">
        <v>43</v>
      </c>
      <c r="F82" s="33">
        <v>58</v>
      </c>
      <c r="G82" s="33">
        <v>64</v>
      </c>
      <c r="H82" s="33">
        <v>49</v>
      </c>
      <c r="I82" s="33">
        <v>41</v>
      </c>
      <c r="J82" s="33">
        <v>42</v>
      </c>
      <c r="K82" s="33">
        <v>47</v>
      </c>
      <c r="L82" s="33">
        <v>56</v>
      </c>
      <c r="M82" s="33">
        <v>34</v>
      </c>
      <c r="N82" s="33">
        <v>40</v>
      </c>
    </row>
    <row r="83" spans="2:14" ht="18" customHeight="1" x14ac:dyDescent="0.25">
      <c r="B83" s="34" t="s">
        <v>129</v>
      </c>
      <c r="C83" s="33">
        <v>46</v>
      </c>
      <c r="D83" s="33">
        <v>50</v>
      </c>
      <c r="E83" s="33">
        <v>66</v>
      </c>
      <c r="F83" s="33">
        <v>57</v>
      </c>
      <c r="G83" s="33">
        <v>41</v>
      </c>
      <c r="H83" s="33">
        <v>66</v>
      </c>
      <c r="I83" s="33">
        <v>43</v>
      </c>
      <c r="J83" s="33">
        <v>34</v>
      </c>
      <c r="K83" s="33">
        <v>36</v>
      </c>
      <c r="L83" s="33">
        <v>43</v>
      </c>
      <c r="M83" s="33">
        <v>66</v>
      </c>
      <c r="N83" s="33">
        <v>49</v>
      </c>
    </row>
    <row r="84" spans="2:14" ht="18" customHeight="1" x14ac:dyDescent="0.25">
      <c r="B84" s="32" t="s">
        <v>130</v>
      </c>
      <c r="C84" s="33">
        <v>35</v>
      </c>
      <c r="D84" s="33">
        <v>39</v>
      </c>
      <c r="E84" s="33">
        <v>38</v>
      </c>
      <c r="F84" s="33">
        <v>61</v>
      </c>
      <c r="G84" s="33">
        <v>61</v>
      </c>
      <c r="H84" s="33">
        <v>37</v>
      </c>
      <c r="I84" s="33">
        <v>63</v>
      </c>
      <c r="J84" s="33">
        <v>40</v>
      </c>
      <c r="K84" s="33">
        <v>48</v>
      </c>
      <c r="L84" s="33">
        <v>43</v>
      </c>
      <c r="M84" s="33">
        <v>52</v>
      </c>
      <c r="N84" s="33">
        <v>46</v>
      </c>
    </row>
    <row r="85" spans="2:14" ht="18" customHeight="1" x14ac:dyDescent="0.25">
      <c r="B85" s="34" t="s">
        <v>131</v>
      </c>
      <c r="C85" s="33">
        <v>51</v>
      </c>
      <c r="D85" s="33">
        <v>33</v>
      </c>
      <c r="E85" s="33">
        <v>51</v>
      </c>
      <c r="F85" s="33">
        <v>42</v>
      </c>
      <c r="G85" s="33">
        <v>40</v>
      </c>
      <c r="H85" s="33">
        <v>65</v>
      </c>
      <c r="I85" s="33">
        <v>53</v>
      </c>
      <c r="J85" s="33">
        <v>35</v>
      </c>
      <c r="K85" s="33">
        <v>44</v>
      </c>
      <c r="L85" s="33">
        <v>36</v>
      </c>
      <c r="M85" s="33">
        <v>51</v>
      </c>
      <c r="N85" s="33">
        <v>65</v>
      </c>
    </row>
    <row r="86" spans="2:14" ht="18" customHeight="1" x14ac:dyDescent="0.25">
      <c r="B86" s="32" t="s">
        <v>132</v>
      </c>
      <c r="C86" s="33">
        <v>59</v>
      </c>
      <c r="D86" s="33">
        <v>39</v>
      </c>
      <c r="E86" s="33">
        <v>65</v>
      </c>
      <c r="F86" s="33">
        <v>36</v>
      </c>
      <c r="G86" s="33">
        <v>60</v>
      </c>
      <c r="H86" s="33">
        <v>61</v>
      </c>
      <c r="I86" s="33">
        <v>53</v>
      </c>
      <c r="J86" s="33">
        <v>62</v>
      </c>
      <c r="K86" s="33">
        <v>46</v>
      </c>
      <c r="L86" s="33">
        <v>65</v>
      </c>
      <c r="M86" s="33">
        <v>50</v>
      </c>
      <c r="N86" s="33">
        <v>41</v>
      </c>
    </row>
    <row r="87" spans="2:14" ht="18" customHeight="1" x14ac:dyDescent="0.25">
      <c r="B87" s="34" t="s">
        <v>133</v>
      </c>
      <c r="C87" s="33">
        <v>55</v>
      </c>
      <c r="D87" s="33">
        <v>34</v>
      </c>
      <c r="E87" s="33">
        <v>65</v>
      </c>
      <c r="F87" s="33">
        <v>41</v>
      </c>
      <c r="G87" s="33">
        <v>59</v>
      </c>
      <c r="H87" s="33">
        <v>43</v>
      </c>
      <c r="I87" s="33">
        <v>55</v>
      </c>
      <c r="J87" s="33">
        <v>42</v>
      </c>
      <c r="K87" s="33">
        <v>64</v>
      </c>
      <c r="L87" s="33">
        <v>48</v>
      </c>
      <c r="M87" s="33">
        <v>52</v>
      </c>
      <c r="N87" s="33">
        <v>40</v>
      </c>
    </row>
    <row r="88" spans="2:14" ht="18" customHeight="1" x14ac:dyDescent="0.25">
      <c r="B88" s="32" t="s">
        <v>134</v>
      </c>
      <c r="C88" s="33">
        <v>40</v>
      </c>
      <c r="D88" s="33">
        <v>51</v>
      </c>
      <c r="E88" s="33">
        <v>34</v>
      </c>
      <c r="F88" s="33">
        <v>34</v>
      </c>
      <c r="G88" s="33">
        <v>42</v>
      </c>
      <c r="H88" s="33">
        <v>58</v>
      </c>
      <c r="I88" s="33">
        <v>56</v>
      </c>
      <c r="J88" s="33">
        <v>60</v>
      </c>
      <c r="K88" s="33">
        <v>55</v>
      </c>
      <c r="L88" s="33">
        <v>65</v>
      </c>
      <c r="M88" s="33">
        <v>44</v>
      </c>
      <c r="N88" s="33">
        <v>35</v>
      </c>
    </row>
    <row r="89" spans="2:14" ht="18" customHeight="1" x14ac:dyDescent="0.25">
      <c r="B89" s="34" t="s">
        <v>135</v>
      </c>
      <c r="C89" s="33">
        <v>51</v>
      </c>
      <c r="D89" s="33">
        <v>51</v>
      </c>
      <c r="E89" s="33">
        <v>56</v>
      </c>
      <c r="F89" s="33">
        <v>46</v>
      </c>
      <c r="G89" s="33">
        <v>52</v>
      </c>
      <c r="H89" s="33">
        <v>60</v>
      </c>
      <c r="I89" s="33">
        <v>45</v>
      </c>
      <c r="J89" s="33">
        <v>56</v>
      </c>
      <c r="K89" s="33">
        <v>37</v>
      </c>
      <c r="L89" s="33">
        <v>49</v>
      </c>
      <c r="M89" s="33">
        <v>63</v>
      </c>
      <c r="N89" s="33">
        <v>53</v>
      </c>
    </row>
    <row r="90" spans="2:14" ht="18" customHeight="1" x14ac:dyDescent="0.25">
      <c r="B90" s="32" t="s">
        <v>136</v>
      </c>
      <c r="C90" s="33">
        <v>34</v>
      </c>
      <c r="D90" s="33">
        <v>39</v>
      </c>
      <c r="E90" s="33">
        <v>55</v>
      </c>
      <c r="F90" s="33">
        <v>51</v>
      </c>
      <c r="G90" s="33">
        <v>56</v>
      </c>
      <c r="H90" s="33">
        <v>46</v>
      </c>
      <c r="I90" s="33">
        <v>60</v>
      </c>
      <c r="J90" s="33">
        <v>33</v>
      </c>
      <c r="K90" s="33">
        <v>37</v>
      </c>
      <c r="L90" s="33">
        <v>42</v>
      </c>
      <c r="M90" s="33">
        <v>42</v>
      </c>
      <c r="N90" s="33">
        <v>33</v>
      </c>
    </row>
  </sheetData>
  <mergeCells count="7">
    <mergeCell ref="B70:M70"/>
    <mergeCell ref="B80:M80"/>
    <mergeCell ref="B2:M2"/>
    <mergeCell ref="B13:M13"/>
    <mergeCell ref="B26:M26"/>
    <mergeCell ref="B41:M41"/>
    <mergeCell ref="B56:M56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D4AC0D"/>
  </sheetPr>
  <dimension ref="A1:R94"/>
  <sheetViews>
    <sheetView showGridLines="0" zoomScaleNormal="100" workbookViewId="0">
      <pane xSplit="2" ySplit="3" topLeftCell="C76" activePane="bottomRight" state="frozen"/>
      <selection pane="topRight" activeCell="G1" sqref="G1"/>
      <selection pane="bottomLeft" activeCell="A55" sqref="A55"/>
      <selection pane="bottomRight" activeCell="O84" sqref="O84"/>
    </sheetView>
  </sheetViews>
  <sheetFormatPr defaultColWidth="42" defaultRowHeight="15" x14ac:dyDescent="0.25"/>
  <cols>
    <col min="1" max="1" width="0.5703125" style="3" customWidth="1"/>
    <col min="2" max="2" width="32" style="3" customWidth="1"/>
    <col min="3" max="14" width="13" style="3" customWidth="1"/>
    <col min="15" max="15" width="15" style="3" customWidth="1"/>
    <col min="16" max="16" width="26.5703125" style="3" customWidth="1"/>
    <col min="17" max="17" width="14" style="3" customWidth="1"/>
    <col min="18" max="16384" width="42" style="3"/>
  </cols>
  <sheetData>
    <row r="1" spans="2:17" ht="7.5" customHeight="1" x14ac:dyDescent="0.25"/>
    <row r="2" spans="2:17" ht="49.5" customHeight="1" x14ac:dyDescent="0.25">
      <c r="B2" s="313" t="s">
        <v>137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4" t="s">
        <v>138</v>
      </c>
    </row>
    <row r="3" spans="2:17" ht="27.75" customHeight="1" x14ac:dyDescent="0.25">
      <c r="B3" s="315" t="str">
        <f>'📥 RAW DATA INPUT'!D4&amp;"   |   FY: "&amp;'📥 RAW DATA INPUT'!D5&amp;"   |   ⚠ Enter all budget figures in ₹'000  |  Blue cells = Input only"</f>
        <v>Month   |   FY: Year   |   ⚠ Enter all budget figures in ₹'000  |  Blue cells = Input only</v>
      </c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4"/>
    </row>
    <row r="4" spans="2:17" ht="4.5" customHeight="1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314"/>
    </row>
    <row r="5" spans="2:17" ht="30" customHeight="1" x14ac:dyDescent="0.25">
      <c r="Q5" s="35">
        <v>12</v>
      </c>
    </row>
    <row r="6" spans="2:17" ht="30" customHeight="1" x14ac:dyDescent="0.25">
      <c r="B6" s="308" t="s">
        <v>139</v>
      </c>
      <c r="C6" s="308"/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  <c r="O6" s="308"/>
      <c r="P6" s="308"/>
      <c r="Q6" s="36" t="s">
        <v>140</v>
      </c>
    </row>
    <row r="7" spans="2:17" ht="27.75" customHeight="1" x14ac:dyDescent="0.25">
      <c r="B7" s="12" t="s">
        <v>141</v>
      </c>
      <c r="C7" s="12" t="s">
        <v>62</v>
      </c>
      <c r="D7" s="12" t="s">
        <v>63</v>
      </c>
      <c r="E7" s="12" t="s">
        <v>64</v>
      </c>
      <c r="F7" s="12" t="s">
        <v>65</v>
      </c>
      <c r="G7" s="12" t="s">
        <v>66</v>
      </c>
      <c r="H7" s="12" t="s">
        <v>67</v>
      </c>
      <c r="I7" s="12" t="s">
        <v>68</v>
      </c>
      <c r="J7" s="12" t="s">
        <v>69</v>
      </c>
      <c r="K7" s="12" t="s">
        <v>70</v>
      </c>
      <c r="L7" s="12" t="s">
        <v>71</v>
      </c>
      <c r="M7" s="12" t="s">
        <v>72</v>
      </c>
      <c r="N7" s="12" t="s">
        <v>73</v>
      </c>
      <c r="O7" s="12" t="s">
        <v>142</v>
      </c>
      <c r="P7" s="12" t="s">
        <v>37</v>
      </c>
      <c r="Q7" s="37" t="str">
        <f>CHOOSE($Q$5,"Apr","May","Jun","Jul","Aug","Sep","Oct","Nov","Dec","Jan","Feb","Mar")</f>
        <v>Mar</v>
      </c>
    </row>
    <row r="8" spans="2:17" ht="18" customHeight="1" x14ac:dyDescent="0.25">
      <c r="B8" s="38" t="s">
        <v>74</v>
      </c>
      <c r="C8" s="39">
        <v>54</v>
      </c>
      <c r="D8" s="39">
        <v>72</v>
      </c>
      <c r="E8" s="39">
        <v>59</v>
      </c>
      <c r="F8" s="39">
        <v>74</v>
      </c>
      <c r="G8" s="39">
        <v>75</v>
      </c>
      <c r="H8" s="39">
        <v>75</v>
      </c>
      <c r="I8" s="39">
        <v>50</v>
      </c>
      <c r="J8" s="39">
        <v>55</v>
      </c>
      <c r="K8" s="39">
        <v>67</v>
      </c>
      <c r="L8" s="39">
        <v>77</v>
      </c>
      <c r="M8" s="39">
        <v>58</v>
      </c>
      <c r="N8" s="39">
        <v>74</v>
      </c>
      <c r="O8" s="40">
        <f t="shared" ref="O8:O16" si="0">SUM(C8:N8)</f>
        <v>790</v>
      </c>
      <c r="P8" s="41" t="s">
        <v>143</v>
      </c>
    </row>
    <row r="9" spans="2:17" ht="18" customHeight="1" x14ac:dyDescent="0.25">
      <c r="B9" s="6" t="s">
        <v>75</v>
      </c>
      <c r="C9" s="39">
        <v>70</v>
      </c>
      <c r="D9" s="39">
        <v>60</v>
      </c>
      <c r="E9" s="39">
        <v>70</v>
      </c>
      <c r="F9" s="39">
        <v>54</v>
      </c>
      <c r="G9" s="39">
        <v>46</v>
      </c>
      <c r="H9" s="39">
        <v>58</v>
      </c>
      <c r="I9" s="39">
        <v>47</v>
      </c>
      <c r="J9" s="39">
        <v>64</v>
      </c>
      <c r="K9" s="39">
        <v>58</v>
      </c>
      <c r="L9" s="39">
        <v>60</v>
      </c>
      <c r="M9" s="39">
        <v>53</v>
      </c>
      <c r="N9" s="39">
        <v>67</v>
      </c>
      <c r="O9" s="40">
        <f t="shared" si="0"/>
        <v>707</v>
      </c>
      <c r="P9" s="41" t="s">
        <v>143</v>
      </c>
    </row>
    <row r="10" spans="2:17" ht="18" customHeight="1" x14ac:dyDescent="0.25">
      <c r="B10" s="38" t="s">
        <v>76</v>
      </c>
      <c r="C10" s="39">
        <v>76</v>
      </c>
      <c r="D10" s="39">
        <v>76</v>
      </c>
      <c r="E10" s="39">
        <v>61</v>
      </c>
      <c r="F10" s="39">
        <v>55</v>
      </c>
      <c r="G10" s="39">
        <v>48</v>
      </c>
      <c r="H10" s="39">
        <v>60</v>
      </c>
      <c r="I10" s="39">
        <v>50</v>
      </c>
      <c r="J10" s="39">
        <v>67</v>
      </c>
      <c r="K10" s="39">
        <v>60</v>
      </c>
      <c r="L10" s="39">
        <v>60</v>
      </c>
      <c r="M10" s="39">
        <v>48</v>
      </c>
      <c r="N10" s="39">
        <v>66</v>
      </c>
      <c r="O10" s="40">
        <f t="shared" si="0"/>
        <v>727</v>
      </c>
      <c r="P10" s="41" t="s">
        <v>143</v>
      </c>
    </row>
    <row r="11" spans="2:17" ht="18" customHeight="1" x14ac:dyDescent="0.25">
      <c r="B11" s="6" t="s">
        <v>77</v>
      </c>
      <c r="C11" s="39">
        <v>60</v>
      </c>
      <c r="D11" s="39">
        <v>58</v>
      </c>
      <c r="E11" s="39">
        <v>49</v>
      </c>
      <c r="F11" s="39">
        <v>64</v>
      </c>
      <c r="G11" s="39">
        <v>71</v>
      </c>
      <c r="H11" s="39">
        <v>60</v>
      </c>
      <c r="I11" s="39">
        <v>59</v>
      </c>
      <c r="J11" s="39">
        <v>54</v>
      </c>
      <c r="K11" s="39">
        <v>65</v>
      </c>
      <c r="L11" s="39">
        <v>47</v>
      </c>
      <c r="M11" s="39">
        <v>56</v>
      </c>
      <c r="N11" s="39">
        <v>53</v>
      </c>
      <c r="O11" s="40">
        <f t="shared" si="0"/>
        <v>696</v>
      </c>
      <c r="P11" s="41" t="s">
        <v>143</v>
      </c>
    </row>
    <row r="12" spans="2:17" ht="18" customHeight="1" x14ac:dyDescent="0.25">
      <c r="B12" s="38" t="s">
        <v>78</v>
      </c>
      <c r="C12" s="39">
        <v>45</v>
      </c>
      <c r="D12" s="39">
        <v>69</v>
      </c>
      <c r="E12" s="39">
        <v>45</v>
      </c>
      <c r="F12" s="39">
        <v>46</v>
      </c>
      <c r="G12" s="39">
        <v>53</v>
      </c>
      <c r="H12" s="39">
        <v>61</v>
      </c>
      <c r="I12" s="39">
        <v>51</v>
      </c>
      <c r="J12" s="39">
        <v>68</v>
      </c>
      <c r="K12" s="39">
        <v>48</v>
      </c>
      <c r="L12" s="39">
        <v>59</v>
      </c>
      <c r="M12" s="39">
        <v>52</v>
      </c>
      <c r="N12" s="39">
        <v>47</v>
      </c>
      <c r="O12" s="40">
        <f t="shared" si="0"/>
        <v>644</v>
      </c>
      <c r="P12" s="41" t="s">
        <v>143</v>
      </c>
    </row>
    <row r="13" spans="2:17" ht="18" customHeight="1" x14ac:dyDescent="0.25">
      <c r="B13" s="6" t="s">
        <v>79</v>
      </c>
      <c r="C13" s="39">
        <v>57</v>
      </c>
      <c r="D13" s="39">
        <v>73</v>
      </c>
      <c r="E13" s="39">
        <v>71</v>
      </c>
      <c r="F13" s="39">
        <v>77</v>
      </c>
      <c r="G13" s="39">
        <v>68</v>
      </c>
      <c r="H13" s="39">
        <v>76</v>
      </c>
      <c r="I13" s="39">
        <v>63</v>
      </c>
      <c r="J13" s="39">
        <v>59</v>
      </c>
      <c r="K13" s="39">
        <v>68</v>
      </c>
      <c r="L13" s="39">
        <v>65</v>
      </c>
      <c r="M13" s="39">
        <v>47</v>
      </c>
      <c r="N13" s="39">
        <v>55</v>
      </c>
      <c r="O13" s="40">
        <f t="shared" si="0"/>
        <v>779</v>
      </c>
      <c r="P13" s="41" t="s">
        <v>143</v>
      </c>
    </row>
    <row r="14" spans="2:17" ht="18" customHeight="1" x14ac:dyDescent="0.25">
      <c r="B14" s="38" t="s">
        <v>80</v>
      </c>
      <c r="C14" s="39">
        <v>72</v>
      </c>
      <c r="D14" s="39">
        <v>57</v>
      </c>
      <c r="E14" s="39">
        <v>51</v>
      </c>
      <c r="F14" s="39">
        <v>67</v>
      </c>
      <c r="G14" s="39">
        <v>59</v>
      </c>
      <c r="H14" s="39">
        <v>71</v>
      </c>
      <c r="I14" s="39">
        <v>69</v>
      </c>
      <c r="J14" s="39">
        <v>71</v>
      </c>
      <c r="K14" s="39">
        <v>76</v>
      </c>
      <c r="L14" s="39">
        <v>66</v>
      </c>
      <c r="M14" s="39">
        <v>72</v>
      </c>
      <c r="N14" s="39">
        <v>54</v>
      </c>
      <c r="O14" s="40">
        <f t="shared" si="0"/>
        <v>785</v>
      </c>
      <c r="P14" s="41" t="s">
        <v>143</v>
      </c>
    </row>
    <row r="15" spans="2:17" ht="18" customHeight="1" x14ac:dyDescent="0.25">
      <c r="B15" s="6" t="s">
        <v>81</v>
      </c>
      <c r="C15" s="39">
        <v>50</v>
      </c>
      <c r="D15" s="39">
        <v>60</v>
      </c>
      <c r="E15" s="39">
        <v>61</v>
      </c>
      <c r="F15" s="39">
        <v>71</v>
      </c>
      <c r="G15" s="39">
        <v>69</v>
      </c>
      <c r="H15" s="39">
        <v>59</v>
      </c>
      <c r="I15" s="39">
        <v>57</v>
      </c>
      <c r="J15" s="39">
        <v>53</v>
      </c>
      <c r="K15" s="39">
        <v>75</v>
      </c>
      <c r="L15" s="39">
        <v>56</v>
      </c>
      <c r="M15" s="39">
        <v>59</v>
      </c>
      <c r="N15" s="39">
        <v>57</v>
      </c>
      <c r="O15" s="40">
        <f t="shared" si="0"/>
        <v>727</v>
      </c>
      <c r="P15" s="41" t="s">
        <v>143</v>
      </c>
    </row>
    <row r="16" spans="2:17" ht="21.75" customHeight="1" x14ac:dyDescent="0.25">
      <c r="B16" s="42" t="s">
        <v>144</v>
      </c>
      <c r="C16" s="43">
        <f t="shared" ref="C16:N16" si="1">SUM(C8:C15)</f>
        <v>484</v>
      </c>
      <c r="D16" s="43">
        <f t="shared" si="1"/>
        <v>525</v>
      </c>
      <c r="E16" s="43">
        <f t="shared" si="1"/>
        <v>467</v>
      </c>
      <c r="F16" s="43">
        <f t="shared" si="1"/>
        <v>508</v>
      </c>
      <c r="G16" s="43">
        <f t="shared" si="1"/>
        <v>489</v>
      </c>
      <c r="H16" s="43">
        <f t="shared" si="1"/>
        <v>520</v>
      </c>
      <c r="I16" s="43">
        <f t="shared" si="1"/>
        <v>446</v>
      </c>
      <c r="J16" s="43">
        <f t="shared" si="1"/>
        <v>491</v>
      </c>
      <c r="K16" s="43">
        <f t="shared" si="1"/>
        <v>517</v>
      </c>
      <c r="L16" s="43">
        <f t="shared" si="1"/>
        <v>490</v>
      </c>
      <c r="M16" s="43">
        <f t="shared" si="1"/>
        <v>445</v>
      </c>
      <c r="N16" s="43">
        <f t="shared" si="1"/>
        <v>473</v>
      </c>
      <c r="O16" s="43">
        <f t="shared" si="0"/>
        <v>5855</v>
      </c>
      <c r="P16" s="40">
        <f>IFERROR(INDEX(C16:N16,1,$Q$5),0)</f>
        <v>473</v>
      </c>
    </row>
    <row r="17" spans="2:16" ht="18" customHeight="1" x14ac:dyDescent="0.25">
      <c r="B17" s="44" t="s">
        <v>145</v>
      </c>
      <c r="C17" s="45" t="s">
        <v>47</v>
      </c>
      <c r="D17" s="46">
        <f t="shared" ref="D17:N17" si="2">IFERROR((D16-C16)/C16,"-")</f>
        <v>8.4710743801652888E-2</v>
      </c>
      <c r="E17" s="46">
        <f t="shared" si="2"/>
        <v>-0.11047619047619048</v>
      </c>
      <c r="F17" s="46">
        <f t="shared" si="2"/>
        <v>8.7794432548179868E-2</v>
      </c>
      <c r="G17" s="46">
        <f t="shared" si="2"/>
        <v>-3.7401574803149609E-2</v>
      </c>
      <c r="H17" s="46">
        <f t="shared" si="2"/>
        <v>6.3394683026584867E-2</v>
      </c>
      <c r="I17" s="46">
        <f t="shared" si="2"/>
        <v>-0.1423076923076923</v>
      </c>
      <c r="J17" s="46">
        <f t="shared" si="2"/>
        <v>0.10089686098654709</v>
      </c>
      <c r="K17" s="46">
        <f t="shared" si="2"/>
        <v>5.2953156822810592E-2</v>
      </c>
      <c r="L17" s="46">
        <f t="shared" si="2"/>
        <v>-5.2224371373307543E-2</v>
      </c>
      <c r="M17" s="46">
        <f t="shared" si="2"/>
        <v>-9.1836734693877556E-2</v>
      </c>
      <c r="N17" s="46">
        <f t="shared" si="2"/>
        <v>6.2921348314606745E-2</v>
      </c>
    </row>
    <row r="19" spans="2:16" ht="30" customHeight="1" x14ac:dyDescent="0.25">
      <c r="B19" s="310" t="s">
        <v>146</v>
      </c>
      <c r="C19" s="310"/>
      <c r="D19" s="310"/>
      <c r="E19" s="310"/>
      <c r="F19" s="310"/>
      <c r="G19" s="310"/>
      <c r="H19" s="310"/>
      <c r="I19" s="310"/>
      <c r="J19" s="310"/>
      <c r="K19" s="310"/>
      <c r="L19" s="310"/>
      <c r="M19" s="310"/>
      <c r="N19" s="310"/>
      <c r="O19" s="310"/>
      <c r="P19" s="310"/>
    </row>
    <row r="20" spans="2:16" ht="25.5" customHeight="1" x14ac:dyDescent="0.25">
      <c r="B20" s="22" t="s">
        <v>141</v>
      </c>
      <c r="C20" s="22" t="s">
        <v>62</v>
      </c>
      <c r="D20" s="22" t="s">
        <v>63</v>
      </c>
      <c r="E20" s="22" t="s">
        <v>64</v>
      </c>
      <c r="F20" s="22" t="s">
        <v>65</v>
      </c>
      <c r="G20" s="22" t="s">
        <v>66</v>
      </c>
      <c r="H20" s="22" t="s">
        <v>67</v>
      </c>
      <c r="I20" s="22" t="s">
        <v>68</v>
      </c>
      <c r="J20" s="22" t="s">
        <v>69</v>
      </c>
      <c r="K20" s="22" t="s">
        <v>70</v>
      </c>
      <c r="L20" s="22" t="s">
        <v>71</v>
      </c>
      <c r="M20" s="22" t="s">
        <v>72</v>
      </c>
      <c r="N20" s="22" t="s">
        <v>73</v>
      </c>
      <c r="O20" s="22" t="s">
        <v>142</v>
      </c>
      <c r="P20" s="22" t="s">
        <v>37</v>
      </c>
    </row>
    <row r="21" spans="2:16" ht="18" customHeight="1" x14ac:dyDescent="0.25">
      <c r="B21" s="47" t="s">
        <v>147</v>
      </c>
      <c r="C21" s="48">
        <v>71</v>
      </c>
      <c r="D21" s="48">
        <v>35</v>
      </c>
      <c r="E21" s="48">
        <v>47</v>
      </c>
      <c r="F21" s="48">
        <v>44</v>
      </c>
      <c r="G21" s="48">
        <v>58</v>
      </c>
      <c r="H21" s="48">
        <v>46</v>
      </c>
      <c r="I21" s="48">
        <v>55</v>
      </c>
      <c r="J21" s="48">
        <v>63</v>
      </c>
      <c r="K21" s="48">
        <v>75</v>
      </c>
      <c r="L21" s="48">
        <v>41</v>
      </c>
      <c r="M21" s="48">
        <v>58</v>
      </c>
      <c r="N21" s="48">
        <v>72</v>
      </c>
      <c r="O21" s="49">
        <f t="shared" ref="O21:O31" si="3">SUM(C21:N21)</f>
        <v>665</v>
      </c>
      <c r="P21" s="41" t="s">
        <v>148</v>
      </c>
    </row>
    <row r="22" spans="2:16" ht="18" customHeight="1" x14ac:dyDescent="0.25">
      <c r="B22" s="6" t="s">
        <v>86</v>
      </c>
      <c r="C22" s="48">
        <v>60</v>
      </c>
      <c r="D22" s="48">
        <v>48</v>
      </c>
      <c r="E22" s="48">
        <v>54</v>
      </c>
      <c r="F22" s="48">
        <v>61</v>
      </c>
      <c r="G22" s="48">
        <v>35</v>
      </c>
      <c r="H22" s="48">
        <v>37</v>
      </c>
      <c r="I22" s="48">
        <v>62</v>
      </c>
      <c r="J22" s="48">
        <v>35</v>
      </c>
      <c r="K22" s="48">
        <v>37</v>
      </c>
      <c r="L22" s="48">
        <v>63</v>
      </c>
      <c r="M22" s="48">
        <v>74</v>
      </c>
      <c r="N22" s="48">
        <v>53</v>
      </c>
      <c r="O22" s="49">
        <f t="shared" si="3"/>
        <v>619</v>
      </c>
      <c r="P22" s="41" t="s">
        <v>149</v>
      </c>
    </row>
    <row r="23" spans="2:16" ht="18" customHeight="1" x14ac:dyDescent="0.25">
      <c r="B23" s="47" t="s">
        <v>87</v>
      </c>
      <c r="C23" s="48">
        <v>41</v>
      </c>
      <c r="D23" s="48">
        <v>56</v>
      </c>
      <c r="E23" s="48">
        <v>70</v>
      </c>
      <c r="F23" s="48">
        <v>66</v>
      </c>
      <c r="G23" s="48">
        <v>40</v>
      </c>
      <c r="H23" s="48">
        <v>69</v>
      </c>
      <c r="I23" s="48">
        <v>42</v>
      </c>
      <c r="J23" s="48">
        <v>61</v>
      </c>
      <c r="K23" s="48">
        <v>50</v>
      </c>
      <c r="L23" s="48">
        <v>54</v>
      </c>
      <c r="M23" s="48">
        <v>63</v>
      </c>
      <c r="N23" s="48">
        <v>44</v>
      </c>
      <c r="O23" s="49">
        <f t="shared" si="3"/>
        <v>656</v>
      </c>
      <c r="P23" s="41"/>
    </row>
    <row r="24" spans="2:16" ht="18" customHeight="1" x14ac:dyDescent="0.25">
      <c r="B24" s="6" t="s">
        <v>88</v>
      </c>
      <c r="C24" s="48">
        <v>68</v>
      </c>
      <c r="D24" s="48">
        <v>48</v>
      </c>
      <c r="E24" s="48">
        <v>51</v>
      </c>
      <c r="F24" s="48">
        <v>51</v>
      </c>
      <c r="G24" s="48">
        <v>59</v>
      </c>
      <c r="H24" s="48">
        <v>77</v>
      </c>
      <c r="I24" s="48">
        <v>66</v>
      </c>
      <c r="J24" s="48">
        <v>44</v>
      </c>
      <c r="K24" s="48">
        <v>64</v>
      </c>
      <c r="L24" s="48">
        <v>52</v>
      </c>
      <c r="M24" s="48">
        <v>50</v>
      </c>
      <c r="N24" s="48">
        <v>49</v>
      </c>
      <c r="O24" s="49">
        <f t="shared" si="3"/>
        <v>679</v>
      </c>
      <c r="P24" s="41" t="s">
        <v>150</v>
      </c>
    </row>
    <row r="25" spans="2:16" ht="18" customHeight="1" x14ac:dyDescent="0.25">
      <c r="B25" s="47" t="s">
        <v>89</v>
      </c>
      <c r="C25" s="48">
        <v>47</v>
      </c>
      <c r="D25" s="48">
        <v>53</v>
      </c>
      <c r="E25" s="48">
        <v>55</v>
      </c>
      <c r="F25" s="48">
        <v>64</v>
      </c>
      <c r="G25" s="48">
        <v>75</v>
      </c>
      <c r="H25" s="48">
        <v>37</v>
      </c>
      <c r="I25" s="48">
        <v>37</v>
      </c>
      <c r="J25" s="48">
        <v>50</v>
      </c>
      <c r="K25" s="48">
        <v>60</v>
      </c>
      <c r="L25" s="48">
        <v>71</v>
      </c>
      <c r="M25" s="48">
        <v>76</v>
      </c>
      <c r="N25" s="48">
        <v>42</v>
      </c>
      <c r="O25" s="49">
        <f t="shared" si="3"/>
        <v>667</v>
      </c>
      <c r="P25" s="41"/>
    </row>
    <row r="26" spans="2:16" ht="18" customHeight="1" x14ac:dyDescent="0.25">
      <c r="B26" s="6" t="s">
        <v>90</v>
      </c>
      <c r="C26" s="48">
        <v>37</v>
      </c>
      <c r="D26" s="48">
        <v>47</v>
      </c>
      <c r="E26" s="48">
        <v>75</v>
      </c>
      <c r="F26" s="48">
        <v>64</v>
      </c>
      <c r="G26" s="48">
        <v>37</v>
      </c>
      <c r="H26" s="48">
        <v>37</v>
      </c>
      <c r="I26" s="48">
        <v>67</v>
      </c>
      <c r="J26" s="48">
        <v>52</v>
      </c>
      <c r="K26" s="48">
        <v>35</v>
      </c>
      <c r="L26" s="48">
        <v>39</v>
      </c>
      <c r="M26" s="48">
        <v>61</v>
      </c>
      <c r="N26" s="48">
        <v>56</v>
      </c>
      <c r="O26" s="49">
        <f t="shared" si="3"/>
        <v>607</v>
      </c>
      <c r="P26" s="41"/>
    </row>
    <row r="27" spans="2:16" ht="18" customHeight="1" x14ac:dyDescent="0.25">
      <c r="B27" s="47" t="s">
        <v>91</v>
      </c>
      <c r="C27" s="48">
        <v>58</v>
      </c>
      <c r="D27" s="48">
        <v>37</v>
      </c>
      <c r="E27" s="48">
        <v>59</v>
      </c>
      <c r="F27" s="48">
        <v>73</v>
      </c>
      <c r="G27" s="48">
        <v>37</v>
      </c>
      <c r="H27" s="48">
        <v>61</v>
      </c>
      <c r="I27" s="48">
        <v>49</v>
      </c>
      <c r="J27" s="48">
        <v>65</v>
      </c>
      <c r="K27" s="48">
        <v>57</v>
      </c>
      <c r="L27" s="48">
        <v>62</v>
      </c>
      <c r="M27" s="48">
        <v>40</v>
      </c>
      <c r="N27" s="48">
        <v>38</v>
      </c>
      <c r="O27" s="49">
        <f t="shared" si="3"/>
        <v>636</v>
      </c>
      <c r="P27" s="41"/>
    </row>
    <row r="28" spans="2:16" ht="18" customHeight="1" x14ac:dyDescent="0.25">
      <c r="B28" s="6" t="s">
        <v>92</v>
      </c>
      <c r="C28" s="48">
        <v>55</v>
      </c>
      <c r="D28" s="48">
        <v>35</v>
      </c>
      <c r="E28" s="48">
        <v>40</v>
      </c>
      <c r="F28" s="48">
        <v>35</v>
      </c>
      <c r="G28" s="48">
        <v>60</v>
      </c>
      <c r="H28" s="48">
        <v>54</v>
      </c>
      <c r="I28" s="48">
        <v>67</v>
      </c>
      <c r="J28" s="48">
        <v>56</v>
      </c>
      <c r="K28" s="48">
        <v>65</v>
      </c>
      <c r="L28" s="48">
        <v>46</v>
      </c>
      <c r="M28" s="48">
        <v>56</v>
      </c>
      <c r="N28" s="48">
        <v>66</v>
      </c>
      <c r="O28" s="49">
        <f t="shared" si="3"/>
        <v>635</v>
      </c>
      <c r="P28" s="41"/>
    </row>
    <row r="29" spans="2:16" ht="18" customHeight="1" x14ac:dyDescent="0.25">
      <c r="B29" s="47" t="s">
        <v>93</v>
      </c>
      <c r="C29" s="48">
        <v>56</v>
      </c>
      <c r="D29" s="48">
        <v>40</v>
      </c>
      <c r="E29" s="48">
        <v>40</v>
      </c>
      <c r="F29" s="48">
        <v>46</v>
      </c>
      <c r="G29" s="48">
        <v>68</v>
      </c>
      <c r="H29" s="48">
        <v>35</v>
      </c>
      <c r="I29" s="48">
        <v>43</v>
      </c>
      <c r="J29" s="48">
        <v>50</v>
      </c>
      <c r="K29" s="48">
        <v>65</v>
      </c>
      <c r="L29" s="48">
        <v>56</v>
      </c>
      <c r="M29" s="48">
        <v>52</v>
      </c>
      <c r="N29" s="48">
        <v>46</v>
      </c>
      <c r="O29" s="49">
        <f t="shared" si="3"/>
        <v>597</v>
      </c>
      <c r="P29" s="41"/>
    </row>
    <row r="30" spans="2:16" ht="18" customHeight="1" x14ac:dyDescent="0.25">
      <c r="B30" s="6" t="s">
        <v>94</v>
      </c>
      <c r="C30" s="48">
        <v>56</v>
      </c>
      <c r="D30" s="48">
        <v>40</v>
      </c>
      <c r="E30" s="48">
        <v>40</v>
      </c>
      <c r="F30" s="48">
        <v>65</v>
      </c>
      <c r="G30" s="48">
        <v>74</v>
      </c>
      <c r="H30" s="48">
        <v>65</v>
      </c>
      <c r="I30" s="48">
        <v>53</v>
      </c>
      <c r="J30" s="48">
        <v>58</v>
      </c>
      <c r="K30" s="48">
        <v>64</v>
      </c>
      <c r="L30" s="48">
        <v>69</v>
      </c>
      <c r="M30" s="48">
        <v>49</v>
      </c>
      <c r="N30" s="48">
        <v>63</v>
      </c>
      <c r="O30" s="49">
        <f t="shared" si="3"/>
        <v>696</v>
      </c>
      <c r="P30" s="41"/>
    </row>
    <row r="31" spans="2:16" ht="21.75" customHeight="1" x14ac:dyDescent="0.25">
      <c r="B31" s="50" t="s">
        <v>151</v>
      </c>
      <c r="C31" s="51">
        <f t="shared" ref="C31:N31" si="4">SUM(C21:C30)</f>
        <v>549</v>
      </c>
      <c r="D31" s="51">
        <f t="shared" si="4"/>
        <v>439</v>
      </c>
      <c r="E31" s="51">
        <f t="shared" si="4"/>
        <v>531</v>
      </c>
      <c r="F31" s="51">
        <f t="shared" si="4"/>
        <v>569</v>
      </c>
      <c r="G31" s="51">
        <f t="shared" si="4"/>
        <v>543</v>
      </c>
      <c r="H31" s="51">
        <f t="shared" si="4"/>
        <v>518</v>
      </c>
      <c r="I31" s="51">
        <f t="shared" si="4"/>
        <v>541</v>
      </c>
      <c r="J31" s="51">
        <f t="shared" si="4"/>
        <v>534</v>
      </c>
      <c r="K31" s="51">
        <f t="shared" si="4"/>
        <v>572</v>
      </c>
      <c r="L31" s="51">
        <f t="shared" si="4"/>
        <v>553</v>
      </c>
      <c r="M31" s="51">
        <f t="shared" si="4"/>
        <v>579</v>
      </c>
      <c r="N31" s="51">
        <f t="shared" si="4"/>
        <v>529</v>
      </c>
      <c r="O31" s="51">
        <f t="shared" si="3"/>
        <v>6457</v>
      </c>
      <c r="P31" s="40">
        <f>IFERROR(INDEX(C31:N31,1,$Q$5),0)</f>
        <v>529</v>
      </c>
    </row>
    <row r="32" spans="2:16" ht="19.5" customHeight="1" x14ac:dyDescent="0.25">
      <c r="B32" s="44" t="s">
        <v>152</v>
      </c>
      <c r="C32" s="52">
        <f t="shared" ref="C32:N32" si="5">C16-C21</f>
        <v>413</v>
      </c>
      <c r="D32" s="52">
        <f t="shared" si="5"/>
        <v>490</v>
      </c>
      <c r="E32" s="52">
        <f t="shared" si="5"/>
        <v>420</v>
      </c>
      <c r="F32" s="52">
        <f t="shared" si="5"/>
        <v>464</v>
      </c>
      <c r="G32" s="52">
        <f t="shared" si="5"/>
        <v>431</v>
      </c>
      <c r="H32" s="52">
        <f t="shared" si="5"/>
        <v>474</v>
      </c>
      <c r="I32" s="52">
        <f t="shared" si="5"/>
        <v>391</v>
      </c>
      <c r="J32" s="52">
        <f t="shared" si="5"/>
        <v>428</v>
      </c>
      <c r="K32" s="52">
        <f t="shared" si="5"/>
        <v>442</v>
      </c>
      <c r="L32" s="52">
        <f t="shared" si="5"/>
        <v>449</v>
      </c>
      <c r="M32" s="52">
        <f t="shared" si="5"/>
        <v>387</v>
      </c>
      <c r="N32" s="52">
        <f t="shared" si="5"/>
        <v>401</v>
      </c>
      <c r="O32" s="53">
        <f>IFERROR(SUM(C32:N32),"-")</f>
        <v>5190</v>
      </c>
      <c r="P32" s="41" t="s">
        <v>153</v>
      </c>
    </row>
    <row r="33" spans="2:16" ht="19.5" customHeight="1" x14ac:dyDescent="0.25">
      <c r="B33" s="44" t="s">
        <v>154</v>
      </c>
      <c r="C33" s="54">
        <f t="shared" ref="C33:N33" si="6">IFERROR(C32/C16,"-")</f>
        <v>0.85330578512396693</v>
      </c>
      <c r="D33" s="54">
        <f t="shared" si="6"/>
        <v>0.93333333333333335</v>
      </c>
      <c r="E33" s="54">
        <f t="shared" si="6"/>
        <v>0.89935760171306212</v>
      </c>
      <c r="F33" s="54">
        <f t="shared" si="6"/>
        <v>0.91338582677165359</v>
      </c>
      <c r="G33" s="54">
        <f t="shared" si="6"/>
        <v>0.88139059304703471</v>
      </c>
      <c r="H33" s="54">
        <f t="shared" si="6"/>
        <v>0.91153846153846152</v>
      </c>
      <c r="I33" s="54">
        <f t="shared" si="6"/>
        <v>0.87668161434977576</v>
      </c>
      <c r="J33" s="54">
        <f t="shared" si="6"/>
        <v>0.8716904276985743</v>
      </c>
      <c r="K33" s="54">
        <f t="shared" si="6"/>
        <v>0.85493230174081236</v>
      </c>
      <c r="L33" s="54">
        <f t="shared" si="6"/>
        <v>0.91632653061224489</v>
      </c>
      <c r="M33" s="54">
        <f t="shared" si="6"/>
        <v>0.86966292134831458</v>
      </c>
      <c r="N33" s="54">
        <f t="shared" si="6"/>
        <v>0.84778012684989434</v>
      </c>
      <c r="O33" s="55">
        <f>IFERROR(AVERAGE(C33:N33),"-")</f>
        <v>0.88578212701059422</v>
      </c>
      <c r="P33" s="56">
        <f>IFERROR(INDEX(C33:N33,1,$Q$5),0)</f>
        <v>0.84778012684989434</v>
      </c>
    </row>
    <row r="34" spans="2:16" ht="19.5" customHeight="1" x14ac:dyDescent="0.25">
      <c r="B34" s="57" t="s">
        <v>155</v>
      </c>
      <c r="C34" s="58">
        <f t="shared" ref="C34:N34" si="7">SUM(C22:C30)</f>
        <v>478</v>
      </c>
      <c r="D34" s="58">
        <f t="shared" si="7"/>
        <v>404</v>
      </c>
      <c r="E34" s="58">
        <f t="shared" si="7"/>
        <v>484</v>
      </c>
      <c r="F34" s="58">
        <f t="shared" si="7"/>
        <v>525</v>
      </c>
      <c r="G34" s="58">
        <f t="shared" si="7"/>
        <v>485</v>
      </c>
      <c r="H34" s="58">
        <f t="shared" si="7"/>
        <v>472</v>
      </c>
      <c r="I34" s="58">
        <f t="shared" si="7"/>
        <v>486</v>
      </c>
      <c r="J34" s="58">
        <f t="shared" si="7"/>
        <v>471</v>
      </c>
      <c r="K34" s="58">
        <f t="shared" si="7"/>
        <v>497</v>
      </c>
      <c r="L34" s="58">
        <f t="shared" si="7"/>
        <v>512</v>
      </c>
      <c r="M34" s="58">
        <f t="shared" si="7"/>
        <v>521</v>
      </c>
      <c r="N34" s="58">
        <f t="shared" si="7"/>
        <v>457</v>
      </c>
      <c r="O34" s="59">
        <f>IFERROR(SUM(C34:N34),"-")</f>
        <v>5792</v>
      </c>
      <c r="P34" s="41" t="s">
        <v>156</v>
      </c>
    </row>
    <row r="35" spans="2:16" ht="19.5" customHeight="1" x14ac:dyDescent="0.25">
      <c r="B35" s="60" t="s">
        <v>157</v>
      </c>
      <c r="C35" s="61">
        <f t="shared" ref="C35:N35" si="8">C32-C34</f>
        <v>-65</v>
      </c>
      <c r="D35" s="61">
        <f t="shared" si="8"/>
        <v>86</v>
      </c>
      <c r="E35" s="61">
        <f t="shared" si="8"/>
        <v>-64</v>
      </c>
      <c r="F35" s="61">
        <f t="shared" si="8"/>
        <v>-61</v>
      </c>
      <c r="G35" s="61">
        <f t="shared" si="8"/>
        <v>-54</v>
      </c>
      <c r="H35" s="61">
        <f t="shared" si="8"/>
        <v>2</v>
      </c>
      <c r="I35" s="61">
        <f t="shared" si="8"/>
        <v>-95</v>
      </c>
      <c r="J35" s="61">
        <f t="shared" si="8"/>
        <v>-43</v>
      </c>
      <c r="K35" s="61">
        <f t="shared" si="8"/>
        <v>-55</v>
      </c>
      <c r="L35" s="61">
        <f t="shared" si="8"/>
        <v>-63</v>
      </c>
      <c r="M35" s="61">
        <f t="shared" si="8"/>
        <v>-134</v>
      </c>
      <c r="N35" s="61">
        <f t="shared" si="8"/>
        <v>-56</v>
      </c>
      <c r="O35" s="62">
        <f>IFERROR(SUM(C35:N35),"-")</f>
        <v>-602</v>
      </c>
      <c r="P35" s="63">
        <f>IFERROR(INDEX(C35:N35,1,$Q$5),0)</f>
        <v>-56</v>
      </c>
    </row>
    <row r="36" spans="2:16" ht="19.5" customHeight="1" x14ac:dyDescent="0.25">
      <c r="B36" s="60" t="s">
        <v>158</v>
      </c>
      <c r="C36" s="64">
        <f t="shared" ref="C36:N36" si="9">IFERROR(C35/C16,"-")</f>
        <v>-0.13429752066115702</v>
      </c>
      <c r="D36" s="64">
        <f t="shared" si="9"/>
        <v>0.16380952380952382</v>
      </c>
      <c r="E36" s="64">
        <f t="shared" si="9"/>
        <v>-0.13704496788008566</v>
      </c>
      <c r="F36" s="64">
        <f t="shared" si="9"/>
        <v>-0.12007874015748031</v>
      </c>
      <c r="G36" s="64">
        <f t="shared" si="9"/>
        <v>-0.11042944785276074</v>
      </c>
      <c r="H36" s="64">
        <f t="shared" si="9"/>
        <v>3.8461538461538464E-3</v>
      </c>
      <c r="I36" s="64">
        <f t="shared" si="9"/>
        <v>-0.21300448430493274</v>
      </c>
      <c r="J36" s="64">
        <f t="shared" si="9"/>
        <v>-8.7576374745417518E-2</v>
      </c>
      <c r="K36" s="64">
        <f t="shared" si="9"/>
        <v>-0.10638297872340426</v>
      </c>
      <c r="L36" s="64">
        <f t="shared" si="9"/>
        <v>-0.12857142857142856</v>
      </c>
      <c r="M36" s="64">
        <f t="shared" si="9"/>
        <v>-0.30112359550561796</v>
      </c>
      <c r="N36" s="64">
        <f t="shared" si="9"/>
        <v>-0.11839323467230443</v>
      </c>
      <c r="O36" s="65">
        <f>IFERROR(AVERAGE(C36:N36),"-")</f>
        <v>-0.10743725795157595</v>
      </c>
      <c r="P36" s="66">
        <f>IFERROR(INDEX(C36:N36,1,$Q$5),0)</f>
        <v>-0.11839323467230443</v>
      </c>
    </row>
    <row r="37" spans="2:16" ht="19.5" customHeight="1" x14ac:dyDescent="0.25">
      <c r="B37" s="60" t="s">
        <v>159</v>
      </c>
      <c r="C37" s="61">
        <f t="shared" ref="C37:N37" si="10">C35-C29</f>
        <v>-121</v>
      </c>
      <c r="D37" s="61">
        <f t="shared" si="10"/>
        <v>46</v>
      </c>
      <c r="E37" s="61">
        <f t="shared" si="10"/>
        <v>-104</v>
      </c>
      <c r="F37" s="61">
        <f t="shared" si="10"/>
        <v>-107</v>
      </c>
      <c r="G37" s="61">
        <f t="shared" si="10"/>
        <v>-122</v>
      </c>
      <c r="H37" s="61">
        <f t="shared" si="10"/>
        <v>-33</v>
      </c>
      <c r="I37" s="61">
        <f t="shared" si="10"/>
        <v>-138</v>
      </c>
      <c r="J37" s="61">
        <f t="shared" si="10"/>
        <v>-93</v>
      </c>
      <c r="K37" s="61">
        <f t="shared" si="10"/>
        <v>-120</v>
      </c>
      <c r="L37" s="61">
        <f t="shared" si="10"/>
        <v>-119</v>
      </c>
      <c r="M37" s="61">
        <f t="shared" si="10"/>
        <v>-186</v>
      </c>
      <c r="N37" s="61">
        <f t="shared" si="10"/>
        <v>-102</v>
      </c>
      <c r="O37" s="62">
        <f>IFERROR(SUM(C37:N37),"-")</f>
        <v>-1199</v>
      </c>
      <c r="P37" s="63">
        <f>IFERROR(INDEX(C37:N37,1,$Q$5),0)</f>
        <v>-102</v>
      </c>
    </row>
    <row r="38" spans="2:16" ht="19.5" customHeight="1" x14ac:dyDescent="0.25">
      <c r="B38" s="60" t="s">
        <v>160</v>
      </c>
      <c r="C38" s="64">
        <f t="shared" ref="C38:N38" si="11">IFERROR(C37/C16,"-")</f>
        <v>-0.25</v>
      </c>
      <c r="D38" s="64">
        <f t="shared" si="11"/>
        <v>8.7619047619047624E-2</v>
      </c>
      <c r="E38" s="64">
        <f t="shared" si="11"/>
        <v>-0.22269807280513917</v>
      </c>
      <c r="F38" s="64">
        <f t="shared" si="11"/>
        <v>-0.21062992125984251</v>
      </c>
      <c r="G38" s="64">
        <f t="shared" si="11"/>
        <v>-0.24948875255623723</v>
      </c>
      <c r="H38" s="64">
        <f t="shared" si="11"/>
        <v>-6.3461538461538458E-2</v>
      </c>
      <c r="I38" s="64">
        <f t="shared" si="11"/>
        <v>-0.3094170403587444</v>
      </c>
      <c r="J38" s="64">
        <f t="shared" si="11"/>
        <v>-0.18940936863543789</v>
      </c>
      <c r="K38" s="64">
        <f t="shared" si="11"/>
        <v>-0.23210831721470018</v>
      </c>
      <c r="L38" s="64">
        <f t="shared" si="11"/>
        <v>-0.24285714285714285</v>
      </c>
      <c r="M38" s="64">
        <f t="shared" si="11"/>
        <v>-0.41797752808988764</v>
      </c>
      <c r="N38" s="64">
        <f t="shared" si="11"/>
        <v>-0.21564482029598309</v>
      </c>
      <c r="O38" s="65">
        <f>IFERROR(AVERAGE(C38:N38),"-")</f>
        <v>-0.20967278790963384</v>
      </c>
      <c r="P38" s="66">
        <f>IFERROR(INDEX(C38:N38,1,$Q$5),0)</f>
        <v>-0.21564482029598309</v>
      </c>
    </row>
    <row r="39" spans="2:16" ht="19.5" customHeight="1" x14ac:dyDescent="0.25">
      <c r="B39" s="67" t="s">
        <v>161</v>
      </c>
      <c r="C39" s="68">
        <f t="shared" ref="C39:N39" si="12">IFERROR(C34/C16,"-")</f>
        <v>0.98760330578512401</v>
      </c>
      <c r="D39" s="68">
        <f t="shared" si="12"/>
        <v>0.7695238095238095</v>
      </c>
      <c r="E39" s="68">
        <f t="shared" si="12"/>
        <v>1.0364025695931478</v>
      </c>
      <c r="F39" s="68">
        <f t="shared" si="12"/>
        <v>1.0334645669291338</v>
      </c>
      <c r="G39" s="68">
        <f t="shared" si="12"/>
        <v>0.99182004089979547</v>
      </c>
      <c r="H39" s="68">
        <f t="shared" si="12"/>
        <v>0.90769230769230769</v>
      </c>
      <c r="I39" s="68">
        <f t="shared" si="12"/>
        <v>1.0896860986547086</v>
      </c>
      <c r="J39" s="68">
        <f t="shared" si="12"/>
        <v>0.95926680244399187</v>
      </c>
      <c r="K39" s="68">
        <f t="shared" si="12"/>
        <v>0.96131528046421666</v>
      </c>
      <c r="L39" s="68">
        <f t="shared" si="12"/>
        <v>1.0448979591836736</v>
      </c>
      <c r="M39" s="68">
        <f t="shared" si="12"/>
        <v>1.1707865168539326</v>
      </c>
      <c r="N39" s="68">
        <f t="shared" si="12"/>
        <v>0.96617336152219868</v>
      </c>
      <c r="O39" s="69">
        <f>IFERROR(AVERAGE(C39:N39),"-")</f>
        <v>0.9932193849621701</v>
      </c>
      <c r="P39" s="56">
        <f>IFERROR(INDEX(C39:N39,1,$Q$5),0)</f>
        <v>0.96617336152219868</v>
      </c>
    </row>
    <row r="42" spans="2:16" ht="30" customHeight="1" x14ac:dyDescent="0.25">
      <c r="B42" s="309" t="s">
        <v>162</v>
      </c>
      <c r="C42" s="309"/>
      <c r="D42" s="309"/>
      <c r="E42" s="309"/>
      <c r="F42" s="309"/>
      <c r="G42" s="309"/>
      <c r="H42" s="309"/>
      <c r="I42" s="309"/>
      <c r="J42" s="309"/>
      <c r="K42" s="309"/>
      <c r="L42" s="309"/>
      <c r="M42" s="309"/>
      <c r="N42" s="309"/>
      <c r="O42" s="309"/>
      <c r="P42" s="309"/>
    </row>
    <row r="43" spans="2:16" ht="25.5" customHeight="1" x14ac:dyDescent="0.25">
      <c r="B43" s="18" t="s">
        <v>141</v>
      </c>
      <c r="C43" s="18" t="s">
        <v>62</v>
      </c>
      <c r="D43" s="18" t="s">
        <v>63</v>
      </c>
      <c r="E43" s="18" t="s">
        <v>64</v>
      </c>
      <c r="F43" s="18" t="s">
        <v>65</v>
      </c>
      <c r="G43" s="18" t="s">
        <v>66</v>
      </c>
      <c r="H43" s="18" t="s">
        <v>67</v>
      </c>
      <c r="I43" s="18" t="s">
        <v>68</v>
      </c>
      <c r="J43" s="18" t="s">
        <v>69</v>
      </c>
      <c r="K43" s="18" t="s">
        <v>70</v>
      </c>
      <c r="L43" s="18" t="s">
        <v>71</v>
      </c>
      <c r="M43" s="18" t="s">
        <v>72</v>
      </c>
      <c r="N43" s="18" t="s">
        <v>73</v>
      </c>
      <c r="O43" s="18" t="s">
        <v>142</v>
      </c>
      <c r="P43" s="18" t="s">
        <v>37</v>
      </c>
    </row>
    <row r="44" spans="2:16" ht="18" customHeight="1" x14ac:dyDescent="0.25">
      <c r="B44" s="70" t="s">
        <v>99</v>
      </c>
      <c r="C44" s="71">
        <v>81</v>
      </c>
      <c r="D44" s="71">
        <v>71</v>
      </c>
      <c r="E44" s="71">
        <v>34</v>
      </c>
      <c r="F44" s="71">
        <v>37</v>
      </c>
      <c r="G44" s="71">
        <v>76</v>
      </c>
      <c r="H44" s="71">
        <v>64</v>
      </c>
      <c r="I44" s="71">
        <v>60</v>
      </c>
      <c r="J44" s="71">
        <v>60</v>
      </c>
      <c r="K44" s="71">
        <v>64</v>
      </c>
      <c r="L44" s="71">
        <v>51</v>
      </c>
      <c r="M44" s="71">
        <v>61</v>
      </c>
      <c r="N44" s="71">
        <v>45</v>
      </c>
      <c r="O44" s="72">
        <f t="shared" ref="O44:O50" si="13">SUM(C44:N44)</f>
        <v>704</v>
      </c>
      <c r="P44" s="41" t="s">
        <v>163</v>
      </c>
    </row>
    <row r="45" spans="2:16" ht="18" customHeight="1" x14ac:dyDescent="0.25">
      <c r="B45" s="6" t="s">
        <v>100</v>
      </c>
      <c r="C45" s="71">
        <v>58</v>
      </c>
      <c r="D45" s="71">
        <v>80</v>
      </c>
      <c r="E45" s="71">
        <v>34</v>
      </c>
      <c r="F45" s="71">
        <v>44</v>
      </c>
      <c r="G45" s="71">
        <v>63</v>
      </c>
      <c r="H45" s="71">
        <v>60</v>
      </c>
      <c r="I45" s="71">
        <v>67</v>
      </c>
      <c r="J45" s="71">
        <v>78</v>
      </c>
      <c r="K45" s="71">
        <v>67</v>
      </c>
      <c r="L45" s="71">
        <v>82</v>
      </c>
      <c r="M45" s="71">
        <v>67</v>
      </c>
      <c r="N45" s="71">
        <v>63</v>
      </c>
      <c r="O45" s="72">
        <f t="shared" si="13"/>
        <v>763</v>
      </c>
      <c r="P45" s="41"/>
    </row>
    <row r="46" spans="2:16" ht="18" customHeight="1" x14ac:dyDescent="0.25">
      <c r="B46" s="70" t="s">
        <v>164</v>
      </c>
      <c r="C46" s="71">
        <v>72</v>
      </c>
      <c r="D46" s="71">
        <v>75</v>
      </c>
      <c r="E46" s="71">
        <v>52</v>
      </c>
      <c r="F46" s="71">
        <v>61</v>
      </c>
      <c r="G46" s="71">
        <v>82</v>
      </c>
      <c r="H46" s="71">
        <v>34</v>
      </c>
      <c r="I46" s="71">
        <v>79</v>
      </c>
      <c r="J46" s="71">
        <v>34</v>
      </c>
      <c r="K46" s="71">
        <v>67</v>
      </c>
      <c r="L46" s="71">
        <v>47</v>
      </c>
      <c r="M46" s="71">
        <v>73</v>
      </c>
      <c r="N46" s="71">
        <v>42</v>
      </c>
      <c r="O46" s="72">
        <f t="shared" si="13"/>
        <v>718</v>
      </c>
      <c r="P46" s="41"/>
    </row>
    <row r="47" spans="2:16" ht="18" customHeight="1" x14ac:dyDescent="0.25">
      <c r="B47" s="6" t="s">
        <v>102</v>
      </c>
      <c r="C47" s="71">
        <v>83</v>
      </c>
      <c r="D47" s="71">
        <v>40</v>
      </c>
      <c r="E47" s="71">
        <v>80</v>
      </c>
      <c r="F47" s="71">
        <v>49</v>
      </c>
      <c r="G47" s="71">
        <v>64</v>
      </c>
      <c r="H47" s="71">
        <v>75</v>
      </c>
      <c r="I47" s="71">
        <v>48</v>
      </c>
      <c r="J47" s="71">
        <v>39</v>
      </c>
      <c r="K47" s="71">
        <v>69</v>
      </c>
      <c r="L47" s="71">
        <v>60</v>
      </c>
      <c r="M47" s="71">
        <v>44</v>
      </c>
      <c r="N47" s="71">
        <v>51</v>
      </c>
      <c r="O47" s="72">
        <f t="shared" si="13"/>
        <v>702</v>
      </c>
      <c r="P47" s="41" t="s">
        <v>165</v>
      </c>
    </row>
    <row r="48" spans="2:16" ht="18" customHeight="1" x14ac:dyDescent="0.25">
      <c r="B48" s="70" t="s">
        <v>105</v>
      </c>
      <c r="C48" s="71">
        <v>35</v>
      </c>
      <c r="D48" s="71">
        <v>42</v>
      </c>
      <c r="E48" s="71">
        <v>35</v>
      </c>
      <c r="F48" s="71">
        <v>40</v>
      </c>
      <c r="G48" s="71">
        <v>62</v>
      </c>
      <c r="H48" s="71">
        <v>59</v>
      </c>
      <c r="I48" s="71">
        <v>50</v>
      </c>
      <c r="J48" s="71">
        <v>68</v>
      </c>
      <c r="K48" s="71">
        <v>83</v>
      </c>
      <c r="L48" s="71">
        <v>68</v>
      </c>
      <c r="M48" s="71">
        <v>57</v>
      </c>
      <c r="N48" s="71">
        <v>63</v>
      </c>
      <c r="O48" s="72">
        <f t="shared" si="13"/>
        <v>662</v>
      </c>
      <c r="P48" s="41"/>
    </row>
    <row r="49" spans="1:18" ht="18" customHeight="1" x14ac:dyDescent="0.25">
      <c r="B49" s="6" t="s">
        <v>104</v>
      </c>
      <c r="C49" s="71">
        <v>61</v>
      </c>
      <c r="D49" s="71">
        <v>76</v>
      </c>
      <c r="E49" s="71">
        <v>69</v>
      </c>
      <c r="F49" s="71">
        <v>36</v>
      </c>
      <c r="G49" s="71">
        <v>77</v>
      </c>
      <c r="H49" s="71">
        <v>45</v>
      </c>
      <c r="I49" s="71">
        <v>74</v>
      </c>
      <c r="J49" s="71">
        <v>79</v>
      </c>
      <c r="K49" s="71">
        <v>80</v>
      </c>
      <c r="L49" s="71">
        <v>47</v>
      </c>
      <c r="M49" s="71">
        <v>54</v>
      </c>
      <c r="N49" s="71">
        <v>37</v>
      </c>
      <c r="O49" s="72">
        <f t="shared" si="13"/>
        <v>735</v>
      </c>
      <c r="P49" s="41" t="s">
        <v>166</v>
      </c>
    </row>
    <row r="50" spans="1:18" ht="18" customHeight="1" x14ac:dyDescent="0.25">
      <c r="B50" s="70" t="s">
        <v>167</v>
      </c>
      <c r="C50" s="71">
        <v>42</v>
      </c>
      <c r="D50" s="71">
        <v>45</v>
      </c>
      <c r="E50" s="71">
        <v>57</v>
      </c>
      <c r="F50" s="71">
        <v>59</v>
      </c>
      <c r="G50" s="71">
        <v>62</v>
      </c>
      <c r="H50" s="71">
        <v>71</v>
      </c>
      <c r="I50" s="71">
        <v>50</v>
      </c>
      <c r="J50" s="71">
        <v>70</v>
      </c>
      <c r="K50" s="71">
        <v>37</v>
      </c>
      <c r="L50" s="71">
        <v>42</v>
      </c>
      <c r="M50" s="71">
        <v>53</v>
      </c>
      <c r="N50" s="71">
        <v>46</v>
      </c>
      <c r="O50" s="72">
        <f t="shared" si="13"/>
        <v>634</v>
      </c>
      <c r="P50" s="41"/>
    </row>
    <row r="51" spans="1:18" ht="21.75" customHeight="1" x14ac:dyDescent="0.25">
      <c r="B51" s="60" t="s">
        <v>168</v>
      </c>
      <c r="C51" s="61">
        <f t="shared" ref="C51:N51" si="14">C44+C45-C46-C47-C48</f>
        <v>-51</v>
      </c>
      <c r="D51" s="61">
        <f t="shared" si="14"/>
        <v>-6</v>
      </c>
      <c r="E51" s="61">
        <f t="shared" si="14"/>
        <v>-99</v>
      </c>
      <c r="F51" s="61">
        <f t="shared" si="14"/>
        <v>-69</v>
      </c>
      <c r="G51" s="61">
        <f t="shared" si="14"/>
        <v>-69</v>
      </c>
      <c r="H51" s="61">
        <f t="shared" si="14"/>
        <v>-44</v>
      </c>
      <c r="I51" s="61">
        <f t="shared" si="14"/>
        <v>-50</v>
      </c>
      <c r="J51" s="61">
        <f t="shared" si="14"/>
        <v>-3</v>
      </c>
      <c r="K51" s="61">
        <f t="shared" si="14"/>
        <v>-88</v>
      </c>
      <c r="L51" s="61">
        <f t="shared" si="14"/>
        <v>-42</v>
      </c>
      <c r="M51" s="61">
        <f t="shared" si="14"/>
        <v>-46</v>
      </c>
      <c r="N51" s="61">
        <f t="shared" si="14"/>
        <v>-48</v>
      </c>
      <c r="O51" s="62">
        <f>IFERROR(SUM(C51:N51),"-")</f>
        <v>-615</v>
      </c>
      <c r="P51" s="40">
        <f>IFERROR(INDEX(C51:N51,1,$Q$5),0)</f>
        <v>-48</v>
      </c>
    </row>
    <row r="52" spans="1:18" ht="21.75" customHeight="1" x14ac:dyDescent="0.25">
      <c r="B52" s="44" t="s">
        <v>169</v>
      </c>
      <c r="C52" s="52">
        <f t="shared" ref="C52:N53" si="15">C51-C49</f>
        <v>-112</v>
      </c>
      <c r="D52" s="52">
        <f t="shared" si="15"/>
        <v>-82</v>
      </c>
      <c r="E52" s="52">
        <f t="shared" si="15"/>
        <v>-168</v>
      </c>
      <c r="F52" s="52">
        <f t="shared" si="15"/>
        <v>-105</v>
      </c>
      <c r="G52" s="52">
        <f t="shared" si="15"/>
        <v>-146</v>
      </c>
      <c r="H52" s="52">
        <f t="shared" si="15"/>
        <v>-89</v>
      </c>
      <c r="I52" s="52">
        <f t="shared" si="15"/>
        <v>-124</v>
      </c>
      <c r="J52" s="52">
        <f t="shared" si="15"/>
        <v>-82</v>
      </c>
      <c r="K52" s="52">
        <f t="shared" si="15"/>
        <v>-168</v>
      </c>
      <c r="L52" s="52">
        <f t="shared" si="15"/>
        <v>-89</v>
      </c>
      <c r="M52" s="52">
        <f t="shared" si="15"/>
        <v>-100</v>
      </c>
      <c r="N52" s="52">
        <f t="shared" si="15"/>
        <v>-85</v>
      </c>
      <c r="O52" s="40">
        <f>IFERROR(SUM(C52:N52),"-")</f>
        <v>-1350</v>
      </c>
      <c r="P52" s="40">
        <f>IFERROR(INDEX(C52:N52,1,$Q$5),0)</f>
        <v>-85</v>
      </c>
    </row>
    <row r="53" spans="1:18" ht="25.5" customHeight="1" x14ac:dyDescent="0.25">
      <c r="B53" s="73" t="s">
        <v>170</v>
      </c>
      <c r="C53" s="74">
        <f t="shared" si="15"/>
        <v>-154</v>
      </c>
      <c r="D53" s="74">
        <f t="shared" si="15"/>
        <v>-127</v>
      </c>
      <c r="E53" s="74">
        <f t="shared" si="15"/>
        <v>-225</v>
      </c>
      <c r="F53" s="74">
        <f t="shared" si="15"/>
        <v>-164</v>
      </c>
      <c r="G53" s="74">
        <f t="shared" si="15"/>
        <v>-208</v>
      </c>
      <c r="H53" s="74">
        <f t="shared" si="15"/>
        <v>-160</v>
      </c>
      <c r="I53" s="74">
        <f t="shared" si="15"/>
        <v>-174</v>
      </c>
      <c r="J53" s="74">
        <f t="shared" si="15"/>
        <v>-152</v>
      </c>
      <c r="K53" s="74">
        <f t="shared" si="15"/>
        <v>-205</v>
      </c>
      <c r="L53" s="74">
        <f t="shared" si="15"/>
        <v>-131</v>
      </c>
      <c r="M53" s="74">
        <f t="shared" si="15"/>
        <v>-153</v>
      </c>
      <c r="N53" s="74">
        <f t="shared" si="15"/>
        <v>-131</v>
      </c>
      <c r="O53" s="75">
        <f>IFERROR(SUM(C53:N53),"-")</f>
        <v>-1984</v>
      </c>
      <c r="P53" s="75">
        <f>IFERROR(INDEX(C53:N53,1,$Q$5),0)</f>
        <v>-131</v>
      </c>
    </row>
    <row r="54" spans="1:18" x14ac:dyDescent="0.25">
      <c r="B54" s="76"/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8"/>
      <c r="P54" s="78"/>
    </row>
    <row r="55" spans="1:18" ht="21.75" customHeight="1" x14ac:dyDescent="0.25">
      <c r="B55" s="312" t="s">
        <v>171</v>
      </c>
      <c r="C55" s="312"/>
      <c r="D55" s="312"/>
      <c r="E55" s="312"/>
      <c r="F55" s="312"/>
      <c r="G55" s="312"/>
      <c r="H55" s="312"/>
      <c r="I55" s="312"/>
      <c r="J55" s="312"/>
      <c r="K55" s="312"/>
      <c r="L55" s="312"/>
      <c r="M55" s="312"/>
      <c r="N55" s="312"/>
      <c r="O55" s="312"/>
      <c r="P55" s="312"/>
      <c r="Q55" s="312"/>
    </row>
    <row r="56" spans="1:18" ht="30" customHeight="1" x14ac:dyDescent="0.25">
      <c r="B56" s="307" t="s">
        <v>172</v>
      </c>
      <c r="C56" s="307"/>
      <c r="D56" s="307"/>
      <c r="E56" s="307"/>
      <c r="F56" s="307"/>
      <c r="G56" s="307"/>
      <c r="H56" s="307"/>
      <c r="I56" s="307"/>
      <c r="J56" s="307"/>
      <c r="K56" s="307"/>
      <c r="L56" s="307"/>
      <c r="M56" s="307"/>
      <c r="N56" s="307"/>
      <c r="O56" s="307"/>
      <c r="P56" s="307"/>
    </row>
    <row r="57" spans="1:18" ht="25.5" customHeight="1" x14ac:dyDescent="0.25">
      <c r="B57" s="5" t="s">
        <v>141</v>
      </c>
      <c r="C57" s="5" t="s">
        <v>62</v>
      </c>
      <c r="D57" s="5" t="s">
        <v>63</v>
      </c>
      <c r="E57" s="5" t="s">
        <v>64</v>
      </c>
      <c r="F57" s="5" t="s">
        <v>65</v>
      </c>
      <c r="G57" s="5" t="s">
        <v>66</v>
      </c>
      <c r="H57" s="5" t="s">
        <v>67</v>
      </c>
      <c r="I57" s="5" t="s">
        <v>68</v>
      </c>
      <c r="J57" s="5" t="s">
        <v>69</v>
      </c>
      <c r="K57" s="5" t="s">
        <v>70</v>
      </c>
      <c r="L57" s="5" t="s">
        <v>71</v>
      </c>
      <c r="M57" s="5" t="s">
        <v>72</v>
      </c>
      <c r="N57" s="5" t="s">
        <v>73</v>
      </c>
      <c r="O57" s="5" t="s">
        <v>142</v>
      </c>
      <c r="P57" s="79" t="s">
        <v>173</v>
      </c>
      <c r="R57" s="80" t="s">
        <v>174</v>
      </c>
    </row>
    <row r="58" spans="1:18" ht="19.5" customHeight="1" x14ac:dyDescent="0.25">
      <c r="A58" s="81" t="s">
        <v>175</v>
      </c>
      <c r="B58" s="38" t="s">
        <v>176</v>
      </c>
      <c r="C58" s="82">
        <f t="shared" ref="C58:N58" si="16">C16</f>
        <v>484</v>
      </c>
      <c r="D58" s="82">
        <f t="shared" si="16"/>
        <v>525</v>
      </c>
      <c r="E58" s="82">
        <f t="shared" si="16"/>
        <v>467</v>
      </c>
      <c r="F58" s="82">
        <f t="shared" si="16"/>
        <v>508</v>
      </c>
      <c r="G58" s="82">
        <f t="shared" si="16"/>
        <v>489</v>
      </c>
      <c r="H58" s="82">
        <f t="shared" si="16"/>
        <v>520</v>
      </c>
      <c r="I58" s="82">
        <f t="shared" si="16"/>
        <v>446</v>
      </c>
      <c r="J58" s="82">
        <f t="shared" si="16"/>
        <v>491</v>
      </c>
      <c r="K58" s="82">
        <f t="shared" si="16"/>
        <v>517</v>
      </c>
      <c r="L58" s="82">
        <f t="shared" si="16"/>
        <v>490</v>
      </c>
      <c r="M58" s="82">
        <f t="shared" si="16"/>
        <v>445</v>
      </c>
      <c r="N58" s="82">
        <f t="shared" si="16"/>
        <v>473</v>
      </c>
      <c r="O58" s="83">
        <f>IFERROR(SUM(C58:N58),"-")</f>
        <v>5855</v>
      </c>
      <c r="P58" s="40">
        <f t="shared" ref="P58:P85" si="17">IFERROR(INDEX(C58:N58,1,$Q$5),0)</f>
        <v>473</v>
      </c>
      <c r="R58" s="84" t="s">
        <v>177</v>
      </c>
    </row>
    <row r="59" spans="1:18" ht="19.5" customHeight="1" x14ac:dyDescent="0.25">
      <c r="A59" s="81" t="s">
        <v>178</v>
      </c>
      <c r="B59" s="38" t="s">
        <v>179</v>
      </c>
      <c r="C59" s="85" t="str">
        <f t="shared" ref="C59:N59" si="18">C17</f>
        <v>—</v>
      </c>
      <c r="D59" s="85">
        <f t="shared" si="18"/>
        <v>8.4710743801652888E-2</v>
      </c>
      <c r="E59" s="85">
        <f t="shared" si="18"/>
        <v>-0.11047619047619048</v>
      </c>
      <c r="F59" s="85">
        <f t="shared" si="18"/>
        <v>8.7794432548179868E-2</v>
      </c>
      <c r="G59" s="85">
        <f t="shared" si="18"/>
        <v>-3.7401574803149609E-2</v>
      </c>
      <c r="H59" s="85">
        <f t="shared" si="18"/>
        <v>6.3394683026584867E-2</v>
      </c>
      <c r="I59" s="85">
        <f t="shared" si="18"/>
        <v>-0.1423076923076923</v>
      </c>
      <c r="J59" s="85">
        <f t="shared" si="18"/>
        <v>0.10089686098654709</v>
      </c>
      <c r="K59" s="85">
        <f t="shared" si="18"/>
        <v>5.2953156822810592E-2</v>
      </c>
      <c r="L59" s="85">
        <f t="shared" si="18"/>
        <v>-5.2224371373307543E-2</v>
      </c>
      <c r="M59" s="85">
        <f t="shared" si="18"/>
        <v>-9.1836734693877556E-2</v>
      </c>
      <c r="N59" s="85">
        <f t="shared" si="18"/>
        <v>6.2921348314606745E-2</v>
      </c>
      <c r="O59" s="86">
        <f t="shared" ref="O59:O85" si="19">IFERROR(AVERAGE(C59:N59),"-")</f>
        <v>1.6749692587422317E-3</v>
      </c>
      <c r="P59" s="66">
        <f t="shared" si="17"/>
        <v>6.2921348314606745E-2</v>
      </c>
      <c r="R59" s="84" t="s">
        <v>180</v>
      </c>
    </row>
    <row r="60" spans="1:18" ht="19.5" customHeight="1" x14ac:dyDescent="0.25">
      <c r="A60" s="81" t="s">
        <v>181</v>
      </c>
      <c r="B60" s="38" t="s">
        <v>182</v>
      </c>
      <c r="C60" s="85">
        <f t="shared" ref="C60:N60" si="20">C33</f>
        <v>0.85330578512396693</v>
      </c>
      <c r="D60" s="85">
        <f t="shared" si="20"/>
        <v>0.93333333333333335</v>
      </c>
      <c r="E60" s="85">
        <f t="shared" si="20"/>
        <v>0.89935760171306212</v>
      </c>
      <c r="F60" s="85">
        <f t="shared" si="20"/>
        <v>0.91338582677165359</v>
      </c>
      <c r="G60" s="85">
        <f t="shared" si="20"/>
        <v>0.88139059304703471</v>
      </c>
      <c r="H60" s="85">
        <f t="shared" si="20"/>
        <v>0.91153846153846152</v>
      </c>
      <c r="I60" s="85">
        <f t="shared" si="20"/>
        <v>0.87668161434977576</v>
      </c>
      <c r="J60" s="85">
        <f t="shared" si="20"/>
        <v>0.8716904276985743</v>
      </c>
      <c r="K60" s="85">
        <f t="shared" si="20"/>
        <v>0.85493230174081236</v>
      </c>
      <c r="L60" s="85">
        <f t="shared" si="20"/>
        <v>0.91632653061224489</v>
      </c>
      <c r="M60" s="85">
        <f t="shared" si="20"/>
        <v>0.86966292134831458</v>
      </c>
      <c r="N60" s="85">
        <f t="shared" si="20"/>
        <v>0.84778012684989434</v>
      </c>
      <c r="O60" s="86">
        <f t="shared" si="19"/>
        <v>0.88578212701059422</v>
      </c>
      <c r="P60" s="66">
        <f t="shared" si="17"/>
        <v>0.84778012684989434</v>
      </c>
      <c r="R60" s="84" t="s">
        <v>183</v>
      </c>
    </row>
    <row r="61" spans="1:18" ht="19.5" customHeight="1" x14ac:dyDescent="0.25">
      <c r="A61" s="81" t="s">
        <v>184</v>
      </c>
      <c r="B61" s="87" t="s">
        <v>185</v>
      </c>
      <c r="C61" s="88">
        <f t="shared" ref="C61:N61" si="21">C35</f>
        <v>-65</v>
      </c>
      <c r="D61" s="88">
        <f t="shared" si="21"/>
        <v>86</v>
      </c>
      <c r="E61" s="88">
        <f t="shared" si="21"/>
        <v>-64</v>
      </c>
      <c r="F61" s="88">
        <f t="shared" si="21"/>
        <v>-61</v>
      </c>
      <c r="G61" s="88">
        <f t="shared" si="21"/>
        <v>-54</v>
      </c>
      <c r="H61" s="88">
        <f t="shared" si="21"/>
        <v>2</v>
      </c>
      <c r="I61" s="88">
        <f t="shared" si="21"/>
        <v>-95</v>
      </c>
      <c r="J61" s="88">
        <f t="shared" si="21"/>
        <v>-43</v>
      </c>
      <c r="K61" s="88">
        <f t="shared" si="21"/>
        <v>-55</v>
      </c>
      <c r="L61" s="88">
        <f t="shared" si="21"/>
        <v>-63</v>
      </c>
      <c r="M61" s="88">
        <f t="shared" si="21"/>
        <v>-134</v>
      </c>
      <c r="N61" s="88">
        <f t="shared" si="21"/>
        <v>-56</v>
      </c>
      <c r="O61" s="83">
        <f>IFERROR(SUM(C61:N61),"-")</f>
        <v>-602</v>
      </c>
      <c r="P61" s="40">
        <f t="shared" si="17"/>
        <v>-56</v>
      </c>
      <c r="R61" s="84" t="s">
        <v>186</v>
      </c>
    </row>
    <row r="62" spans="1:18" ht="19.5" customHeight="1" x14ac:dyDescent="0.25">
      <c r="A62" s="81" t="s">
        <v>187</v>
      </c>
      <c r="B62" s="87" t="s">
        <v>188</v>
      </c>
      <c r="C62" s="89">
        <f t="shared" ref="C62:N62" si="22">C36</f>
        <v>-0.13429752066115702</v>
      </c>
      <c r="D62" s="89">
        <f t="shared" si="22"/>
        <v>0.16380952380952382</v>
      </c>
      <c r="E62" s="89">
        <f t="shared" si="22"/>
        <v>-0.13704496788008566</v>
      </c>
      <c r="F62" s="89">
        <f t="shared" si="22"/>
        <v>-0.12007874015748031</v>
      </c>
      <c r="G62" s="89">
        <f t="shared" si="22"/>
        <v>-0.11042944785276074</v>
      </c>
      <c r="H62" s="89">
        <f t="shared" si="22"/>
        <v>3.8461538461538464E-3</v>
      </c>
      <c r="I62" s="89">
        <f t="shared" si="22"/>
        <v>-0.21300448430493274</v>
      </c>
      <c r="J62" s="89">
        <f t="shared" si="22"/>
        <v>-8.7576374745417518E-2</v>
      </c>
      <c r="K62" s="89">
        <f t="shared" si="22"/>
        <v>-0.10638297872340426</v>
      </c>
      <c r="L62" s="89">
        <f t="shared" si="22"/>
        <v>-0.12857142857142856</v>
      </c>
      <c r="M62" s="89">
        <f t="shared" si="22"/>
        <v>-0.30112359550561796</v>
      </c>
      <c r="N62" s="89">
        <f t="shared" si="22"/>
        <v>-0.11839323467230443</v>
      </c>
      <c r="O62" s="86">
        <f t="shared" si="19"/>
        <v>-0.10743725795157595</v>
      </c>
      <c r="P62" s="66">
        <f t="shared" si="17"/>
        <v>-0.11839323467230443</v>
      </c>
      <c r="R62" s="84" t="s">
        <v>189</v>
      </c>
    </row>
    <row r="63" spans="1:18" ht="19.5" customHeight="1" x14ac:dyDescent="0.25">
      <c r="A63" s="81" t="s">
        <v>190</v>
      </c>
      <c r="B63" s="87" t="s">
        <v>191</v>
      </c>
      <c r="C63" s="89">
        <f t="shared" ref="C63:N63" si="23">C38</f>
        <v>-0.25</v>
      </c>
      <c r="D63" s="89">
        <f t="shared" si="23"/>
        <v>8.7619047619047624E-2</v>
      </c>
      <c r="E63" s="89">
        <f t="shared" si="23"/>
        <v>-0.22269807280513917</v>
      </c>
      <c r="F63" s="89">
        <f t="shared" si="23"/>
        <v>-0.21062992125984251</v>
      </c>
      <c r="G63" s="89">
        <f t="shared" si="23"/>
        <v>-0.24948875255623723</v>
      </c>
      <c r="H63" s="89">
        <f t="shared" si="23"/>
        <v>-6.3461538461538458E-2</v>
      </c>
      <c r="I63" s="89">
        <f t="shared" si="23"/>
        <v>-0.3094170403587444</v>
      </c>
      <c r="J63" s="89">
        <f t="shared" si="23"/>
        <v>-0.18940936863543789</v>
      </c>
      <c r="K63" s="89">
        <f t="shared" si="23"/>
        <v>-0.23210831721470018</v>
      </c>
      <c r="L63" s="89">
        <f t="shared" si="23"/>
        <v>-0.24285714285714285</v>
      </c>
      <c r="M63" s="89">
        <f t="shared" si="23"/>
        <v>-0.41797752808988764</v>
      </c>
      <c r="N63" s="89">
        <f t="shared" si="23"/>
        <v>-0.21564482029598309</v>
      </c>
      <c r="O63" s="86">
        <f t="shared" si="19"/>
        <v>-0.20967278790963384</v>
      </c>
      <c r="P63" s="66">
        <f t="shared" si="17"/>
        <v>-0.21564482029598309</v>
      </c>
      <c r="R63" s="84" t="s">
        <v>192</v>
      </c>
    </row>
    <row r="64" spans="1:18" ht="19.5" customHeight="1" x14ac:dyDescent="0.25">
      <c r="A64" s="81" t="s">
        <v>193</v>
      </c>
      <c r="B64" s="70" t="s">
        <v>194</v>
      </c>
      <c r="C64" s="90">
        <f t="shared" ref="C64:N64" si="24">C39</f>
        <v>0.98760330578512401</v>
      </c>
      <c r="D64" s="90">
        <f t="shared" si="24"/>
        <v>0.7695238095238095</v>
      </c>
      <c r="E64" s="90">
        <f t="shared" si="24"/>
        <v>1.0364025695931478</v>
      </c>
      <c r="F64" s="90">
        <f t="shared" si="24"/>
        <v>1.0334645669291338</v>
      </c>
      <c r="G64" s="90">
        <f t="shared" si="24"/>
        <v>0.99182004089979547</v>
      </c>
      <c r="H64" s="90">
        <f t="shared" si="24"/>
        <v>0.90769230769230769</v>
      </c>
      <c r="I64" s="90">
        <f t="shared" si="24"/>
        <v>1.0896860986547086</v>
      </c>
      <c r="J64" s="90">
        <f t="shared" si="24"/>
        <v>0.95926680244399187</v>
      </c>
      <c r="K64" s="90">
        <f t="shared" si="24"/>
        <v>0.96131528046421666</v>
      </c>
      <c r="L64" s="90">
        <f t="shared" si="24"/>
        <v>1.0448979591836736</v>
      </c>
      <c r="M64" s="90">
        <f t="shared" si="24"/>
        <v>1.1707865168539326</v>
      </c>
      <c r="N64" s="90">
        <f t="shared" si="24"/>
        <v>0.96617336152219868</v>
      </c>
      <c r="O64" s="86">
        <f t="shared" si="19"/>
        <v>0.9932193849621701</v>
      </c>
      <c r="P64" s="66">
        <f t="shared" si="17"/>
        <v>0.96617336152219868</v>
      </c>
      <c r="R64" s="84" t="s">
        <v>195</v>
      </c>
    </row>
    <row r="65" spans="1:18" ht="19.5" customHeight="1" x14ac:dyDescent="0.25">
      <c r="A65" s="81" t="s">
        <v>196</v>
      </c>
      <c r="B65" s="47" t="s">
        <v>197</v>
      </c>
      <c r="C65" s="91">
        <f t="shared" ref="C65:N65" si="25">C51</f>
        <v>-51</v>
      </c>
      <c r="D65" s="91">
        <f t="shared" si="25"/>
        <v>-6</v>
      </c>
      <c r="E65" s="91">
        <f t="shared" si="25"/>
        <v>-99</v>
      </c>
      <c r="F65" s="91">
        <f t="shared" si="25"/>
        <v>-69</v>
      </c>
      <c r="G65" s="91">
        <f t="shared" si="25"/>
        <v>-69</v>
      </c>
      <c r="H65" s="91">
        <f t="shared" si="25"/>
        <v>-44</v>
      </c>
      <c r="I65" s="91">
        <f t="shared" si="25"/>
        <v>-50</v>
      </c>
      <c r="J65" s="91">
        <f t="shared" si="25"/>
        <v>-3</v>
      </c>
      <c r="K65" s="91">
        <f t="shared" si="25"/>
        <v>-88</v>
      </c>
      <c r="L65" s="91">
        <f t="shared" si="25"/>
        <v>-42</v>
      </c>
      <c r="M65" s="91">
        <f t="shared" si="25"/>
        <v>-46</v>
      </c>
      <c r="N65" s="91">
        <f t="shared" si="25"/>
        <v>-48</v>
      </c>
      <c r="O65" s="83">
        <f>IFERROR(SUM(C65:N65),"-")</f>
        <v>-615</v>
      </c>
      <c r="P65" s="40">
        <f t="shared" si="17"/>
        <v>-48</v>
      </c>
      <c r="R65" s="84" t="s">
        <v>198</v>
      </c>
    </row>
    <row r="66" spans="1:18" ht="19.5" customHeight="1" x14ac:dyDescent="0.25">
      <c r="A66" s="81" t="s">
        <v>199</v>
      </c>
      <c r="B66" s="47" t="s">
        <v>200</v>
      </c>
      <c r="C66" s="91">
        <f t="shared" ref="C66:N66" si="26">C52</f>
        <v>-112</v>
      </c>
      <c r="D66" s="91">
        <f t="shared" si="26"/>
        <v>-82</v>
      </c>
      <c r="E66" s="91">
        <f t="shared" si="26"/>
        <v>-168</v>
      </c>
      <c r="F66" s="91">
        <f t="shared" si="26"/>
        <v>-105</v>
      </c>
      <c r="G66" s="91">
        <f t="shared" si="26"/>
        <v>-146</v>
      </c>
      <c r="H66" s="91">
        <f t="shared" si="26"/>
        <v>-89</v>
      </c>
      <c r="I66" s="91">
        <f t="shared" si="26"/>
        <v>-124</v>
      </c>
      <c r="J66" s="91">
        <f t="shared" si="26"/>
        <v>-82</v>
      </c>
      <c r="K66" s="91">
        <f t="shared" si="26"/>
        <v>-168</v>
      </c>
      <c r="L66" s="91">
        <f t="shared" si="26"/>
        <v>-89</v>
      </c>
      <c r="M66" s="91">
        <f t="shared" si="26"/>
        <v>-100</v>
      </c>
      <c r="N66" s="91">
        <f t="shared" si="26"/>
        <v>-85</v>
      </c>
      <c r="O66" s="83">
        <f>IFERROR(SUM(C66:N66),"-")</f>
        <v>-1350</v>
      </c>
      <c r="P66" s="40">
        <f t="shared" si="17"/>
        <v>-85</v>
      </c>
      <c r="R66" s="84" t="s">
        <v>201</v>
      </c>
    </row>
    <row r="67" spans="1:18" ht="19.5" customHeight="1" x14ac:dyDescent="0.25">
      <c r="A67" s="81" t="s">
        <v>202</v>
      </c>
      <c r="B67" s="87" t="s">
        <v>203</v>
      </c>
      <c r="C67" s="89">
        <f t="shared" ref="C67:N67" si="27">IFERROR(C51/C35,"-")</f>
        <v>0.7846153846153846</v>
      </c>
      <c r="D67" s="89">
        <f t="shared" si="27"/>
        <v>-6.9767441860465115E-2</v>
      </c>
      <c r="E67" s="89">
        <f t="shared" si="27"/>
        <v>1.546875</v>
      </c>
      <c r="F67" s="89">
        <f t="shared" si="27"/>
        <v>1.1311475409836065</v>
      </c>
      <c r="G67" s="89">
        <f t="shared" si="27"/>
        <v>1.2777777777777777</v>
      </c>
      <c r="H67" s="89">
        <f t="shared" si="27"/>
        <v>-22</v>
      </c>
      <c r="I67" s="89">
        <f t="shared" si="27"/>
        <v>0.52631578947368418</v>
      </c>
      <c r="J67" s="89">
        <f t="shared" si="27"/>
        <v>6.9767441860465115E-2</v>
      </c>
      <c r="K67" s="89">
        <f t="shared" si="27"/>
        <v>1.6</v>
      </c>
      <c r="L67" s="89">
        <f t="shared" si="27"/>
        <v>0.66666666666666663</v>
      </c>
      <c r="M67" s="89">
        <f t="shared" si="27"/>
        <v>0.34328358208955223</v>
      </c>
      <c r="N67" s="89">
        <f t="shared" si="27"/>
        <v>0.8571428571428571</v>
      </c>
      <c r="O67" s="86">
        <f t="shared" si="19"/>
        <v>-1.1055146167708725</v>
      </c>
      <c r="P67" s="66">
        <f t="shared" si="17"/>
        <v>0.8571428571428571</v>
      </c>
      <c r="R67" s="84" t="s">
        <v>204</v>
      </c>
    </row>
    <row r="68" spans="1:18" ht="19.5" customHeight="1" x14ac:dyDescent="0.25">
      <c r="A68" s="81" t="s">
        <v>205</v>
      </c>
      <c r="B68" s="38" t="s">
        <v>206</v>
      </c>
      <c r="C68" s="85">
        <f t="shared" ref="C68:N68" si="28">IFERROR(C44/C16,"-")</f>
        <v>0.16735537190082644</v>
      </c>
      <c r="D68" s="85">
        <f t="shared" si="28"/>
        <v>0.13523809523809524</v>
      </c>
      <c r="E68" s="85">
        <f t="shared" si="28"/>
        <v>7.2805139186295498E-2</v>
      </c>
      <c r="F68" s="85">
        <f t="shared" si="28"/>
        <v>7.2834645669291334E-2</v>
      </c>
      <c r="G68" s="85">
        <f t="shared" si="28"/>
        <v>0.15541922290388549</v>
      </c>
      <c r="H68" s="85">
        <f t="shared" si="28"/>
        <v>0.12307692307692308</v>
      </c>
      <c r="I68" s="85">
        <f t="shared" si="28"/>
        <v>0.13452914798206278</v>
      </c>
      <c r="J68" s="85">
        <f t="shared" si="28"/>
        <v>0.12219959266802444</v>
      </c>
      <c r="K68" s="85">
        <f t="shared" si="28"/>
        <v>0.12379110251450677</v>
      </c>
      <c r="L68" s="85">
        <f t="shared" si="28"/>
        <v>0.10408163265306122</v>
      </c>
      <c r="M68" s="85">
        <f t="shared" si="28"/>
        <v>0.13707865168539327</v>
      </c>
      <c r="N68" s="85">
        <f t="shared" si="28"/>
        <v>9.5137420718816063E-2</v>
      </c>
      <c r="O68" s="86">
        <f t="shared" si="19"/>
        <v>0.12029557884976512</v>
      </c>
      <c r="P68" s="66">
        <f t="shared" si="17"/>
        <v>9.5137420718816063E-2</v>
      </c>
      <c r="R68" s="84" t="s">
        <v>207</v>
      </c>
    </row>
    <row r="69" spans="1:18" ht="19.5" customHeight="1" x14ac:dyDescent="0.25">
      <c r="A69" s="81" t="s">
        <v>208</v>
      </c>
      <c r="B69" s="92" t="s">
        <v>209</v>
      </c>
      <c r="C69" s="93">
        <v>12</v>
      </c>
      <c r="D69" s="93">
        <v>12</v>
      </c>
      <c r="E69" s="93">
        <v>12</v>
      </c>
      <c r="F69" s="93">
        <v>12</v>
      </c>
      <c r="G69" s="93">
        <v>12</v>
      </c>
      <c r="H69" s="93">
        <v>12</v>
      </c>
      <c r="I69" s="93">
        <v>12</v>
      </c>
      <c r="J69" s="93">
        <v>12</v>
      </c>
      <c r="K69" s="93">
        <v>12</v>
      </c>
      <c r="L69" s="93">
        <v>12</v>
      </c>
      <c r="M69" s="93">
        <v>12</v>
      </c>
      <c r="N69" s="93">
        <v>12</v>
      </c>
      <c r="O69" s="94">
        <f t="shared" si="19"/>
        <v>12</v>
      </c>
      <c r="P69" s="95">
        <f t="shared" si="17"/>
        <v>12</v>
      </c>
      <c r="R69" s="96" t="s">
        <v>210</v>
      </c>
    </row>
    <row r="70" spans="1:18" ht="19.5" customHeight="1" x14ac:dyDescent="0.25">
      <c r="A70" s="81" t="s">
        <v>211</v>
      </c>
      <c r="B70" s="47" t="s">
        <v>212</v>
      </c>
      <c r="C70" s="97">
        <v>2000</v>
      </c>
      <c r="D70" s="97">
        <v>2000</v>
      </c>
      <c r="E70" s="97">
        <v>2000</v>
      </c>
      <c r="F70" s="97">
        <v>2000</v>
      </c>
      <c r="G70" s="97">
        <v>2000</v>
      </c>
      <c r="H70" s="97">
        <v>2000</v>
      </c>
      <c r="I70" s="97">
        <v>2000</v>
      </c>
      <c r="J70" s="97">
        <v>2000</v>
      </c>
      <c r="K70" s="97">
        <v>2000</v>
      </c>
      <c r="L70" s="97">
        <v>2000</v>
      </c>
      <c r="M70" s="97">
        <v>2000</v>
      </c>
      <c r="N70" s="97">
        <v>2000</v>
      </c>
      <c r="O70" s="83">
        <f t="shared" si="19"/>
        <v>2000</v>
      </c>
      <c r="P70" s="40">
        <f t="shared" si="17"/>
        <v>2000</v>
      </c>
      <c r="R70" s="96" t="s">
        <v>213</v>
      </c>
    </row>
    <row r="71" spans="1:18" ht="19.5" customHeight="1" x14ac:dyDescent="0.25">
      <c r="A71" s="81" t="s">
        <v>214</v>
      </c>
      <c r="B71" s="87" t="s">
        <v>215</v>
      </c>
      <c r="C71" s="98">
        <v>30</v>
      </c>
      <c r="D71" s="98">
        <v>30</v>
      </c>
      <c r="E71" s="98">
        <v>30</v>
      </c>
      <c r="F71" s="98">
        <v>30</v>
      </c>
      <c r="G71" s="98">
        <v>30</v>
      </c>
      <c r="H71" s="98">
        <v>30</v>
      </c>
      <c r="I71" s="98">
        <v>30</v>
      </c>
      <c r="J71" s="98">
        <v>30</v>
      </c>
      <c r="K71" s="98">
        <v>30</v>
      </c>
      <c r="L71" s="98">
        <v>30</v>
      </c>
      <c r="M71" s="98">
        <v>30</v>
      </c>
      <c r="N71" s="98">
        <v>30</v>
      </c>
      <c r="O71" s="99">
        <f t="shared" si="19"/>
        <v>30</v>
      </c>
      <c r="P71" s="100">
        <f t="shared" si="17"/>
        <v>30</v>
      </c>
      <c r="R71" s="96" t="s">
        <v>216</v>
      </c>
    </row>
    <row r="72" spans="1:18" ht="19.5" customHeight="1" x14ac:dyDescent="0.25">
      <c r="A72" s="81" t="s">
        <v>217</v>
      </c>
      <c r="B72" s="70" t="s">
        <v>218</v>
      </c>
      <c r="C72" s="101">
        <v>35</v>
      </c>
      <c r="D72" s="101">
        <v>35</v>
      </c>
      <c r="E72" s="101">
        <v>35</v>
      </c>
      <c r="F72" s="101">
        <v>35</v>
      </c>
      <c r="G72" s="101">
        <v>35</v>
      </c>
      <c r="H72" s="101">
        <v>35</v>
      </c>
      <c r="I72" s="101">
        <v>35</v>
      </c>
      <c r="J72" s="101">
        <v>35</v>
      </c>
      <c r="K72" s="101">
        <v>35</v>
      </c>
      <c r="L72" s="101">
        <v>35</v>
      </c>
      <c r="M72" s="101">
        <v>35</v>
      </c>
      <c r="N72" s="101">
        <v>35</v>
      </c>
      <c r="O72" s="99">
        <f t="shared" si="19"/>
        <v>35</v>
      </c>
      <c r="P72" s="100">
        <f t="shared" si="17"/>
        <v>35</v>
      </c>
      <c r="R72" s="96" t="s">
        <v>219</v>
      </c>
    </row>
    <row r="73" spans="1:18" ht="19.5" customHeight="1" x14ac:dyDescent="0.25">
      <c r="A73" s="81" t="s">
        <v>220</v>
      </c>
      <c r="B73" s="38" t="s">
        <v>221</v>
      </c>
      <c r="C73" s="102">
        <v>25</v>
      </c>
      <c r="D73" s="102">
        <v>25</v>
      </c>
      <c r="E73" s="102">
        <v>25</v>
      </c>
      <c r="F73" s="102">
        <v>25</v>
      </c>
      <c r="G73" s="102">
        <v>25</v>
      </c>
      <c r="H73" s="102">
        <v>25</v>
      </c>
      <c r="I73" s="102">
        <v>25</v>
      </c>
      <c r="J73" s="102">
        <v>25</v>
      </c>
      <c r="K73" s="102">
        <v>25</v>
      </c>
      <c r="L73" s="102">
        <v>25</v>
      </c>
      <c r="M73" s="102">
        <v>25</v>
      </c>
      <c r="N73" s="102">
        <v>25</v>
      </c>
      <c r="O73" s="99">
        <f t="shared" si="19"/>
        <v>25</v>
      </c>
      <c r="P73" s="100">
        <f t="shared" si="17"/>
        <v>25</v>
      </c>
      <c r="R73" s="96" t="s">
        <v>222</v>
      </c>
    </row>
    <row r="74" spans="1:18" ht="19.5" customHeight="1" x14ac:dyDescent="0.25">
      <c r="A74" s="81" t="s">
        <v>223</v>
      </c>
      <c r="B74" s="92" t="s">
        <v>224</v>
      </c>
      <c r="C74" s="103">
        <v>20</v>
      </c>
      <c r="D74" s="103">
        <v>20</v>
      </c>
      <c r="E74" s="103">
        <v>20</v>
      </c>
      <c r="F74" s="103">
        <v>20</v>
      </c>
      <c r="G74" s="103">
        <v>20</v>
      </c>
      <c r="H74" s="103">
        <v>20</v>
      </c>
      <c r="I74" s="103">
        <v>20</v>
      </c>
      <c r="J74" s="103">
        <v>20</v>
      </c>
      <c r="K74" s="103">
        <v>20</v>
      </c>
      <c r="L74" s="103">
        <v>20</v>
      </c>
      <c r="M74" s="103">
        <v>20</v>
      </c>
      <c r="N74" s="103">
        <v>20</v>
      </c>
      <c r="O74" s="99">
        <f t="shared" si="19"/>
        <v>20</v>
      </c>
      <c r="P74" s="100">
        <f t="shared" si="17"/>
        <v>20</v>
      </c>
      <c r="R74" s="96" t="s">
        <v>225</v>
      </c>
    </row>
    <row r="75" spans="1:18" ht="19.5" customHeight="1" x14ac:dyDescent="0.25">
      <c r="A75" s="81" t="s">
        <v>226</v>
      </c>
      <c r="B75" s="47" t="s">
        <v>227</v>
      </c>
      <c r="C75" s="104">
        <v>1.5</v>
      </c>
      <c r="D75" s="104">
        <v>1.5</v>
      </c>
      <c r="E75" s="104">
        <v>1.5</v>
      </c>
      <c r="F75" s="104">
        <v>1.5</v>
      </c>
      <c r="G75" s="104">
        <v>1.5</v>
      </c>
      <c r="H75" s="104">
        <v>1.5</v>
      </c>
      <c r="I75" s="104">
        <v>1.5</v>
      </c>
      <c r="J75" s="104">
        <v>1.5</v>
      </c>
      <c r="K75" s="104">
        <v>1.5</v>
      </c>
      <c r="L75" s="104">
        <v>1.5</v>
      </c>
      <c r="M75" s="104">
        <v>1.5</v>
      </c>
      <c r="N75" s="104">
        <v>1.5</v>
      </c>
      <c r="O75" s="105">
        <f t="shared" si="19"/>
        <v>1.5</v>
      </c>
      <c r="P75" s="106">
        <f t="shared" si="17"/>
        <v>1.5</v>
      </c>
      <c r="R75" s="96" t="s">
        <v>228</v>
      </c>
    </row>
    <row r="76" spans="1:18" ht="19.5" customHeight="1" x14ac:dyDescent="0.25">
      <c r="A76" s="81" t="s">
        <v>229</v>
      </c>
      <c r="B76" s="47" t="s">
        <v>230</v>
      </c>
      <c r="C76" s="104">
        <v>1</v>
      </c>
      <c r="D76" s="104">
        <v>1</v>
      </c>
      <c r="E76" s="104">
        <v>1</v>
      </c>
      <c r="F76" s="104">
        <v>1</v>
      </c>
      <c r="G76" s="104">
        <v>1</v>
      </c>
      <c r="H76" s="104">
        <v>1</v>
      </c>
      <c r="I76" s="104">
        <v>1</v>
      </c>
      <c r="J76" s="104">
        <v>1</v>
      </c>
      <c r="K76" s="104">
        <v>1</v>
      </c>
      <c r="L76" s="104">
        <v>1</v>
      </c>
      <c r="M76" s="104">
        <v>1</v>
      </c>
      <c r="N76" s="104">
        <v>1</v>
      </c>
      <c r="O76" s="105">
        <f t="shared" si="19"/>
        <v>1</v>
      </c>
      <c r="P76" s="106">
        <f t="shared" si="17"/>
        <v>1</v>
      </c>
      <c r="R76" s="96" t="s">
        <v>231</v>
      </c>
    </row>
    <row r="77" spans="1:18" ht="19.5" customHeight="1" x14ac:dyDescent="0.25">
      <c r="A77" s="81" t="s">
        <v>232</v>
      </c>
      <c r="B77" s="107" t="s">
        <v>233</v>
      </c>
      <c r="C77" s="108">
        <v>0.04</v>
      </c>
      <c r="D77" s="108">
        <v>0.04</v>
      </c>
      <c r="E77" s="108">
        <v>0.04</v>
      </c>
      <c r="F77" s="108">
        <v>0.04</v>
      </c>
      <c r="G77" s="108">
        <v>0.04</v>
      </c>
      <c r="H77" s="108">
        <v>0.04</v>
      </c>
      <c r="I77" s="108">
        <v>0.04</v>
      </c>
      <c r="J77" s="108">
        <v>0.04</v>
      </c>
      <c r="K77" s="108">
        <v>0.04</v>
      </c>
      <c r="L77" s="108">
        <v>0.04</v>
      </c>
      <c r="M77" s="108">
        <v>0.04</v>
      </c>
      <c r="N77" s="108">
        <v>0.04</v>
      </c>
      <c r="O77" s="86">
        <f t="shared" si="19"/>
        <v>3.9999999999999994E-2</v>
      </c>
      <c r="P77" s="66">
        <f t="shared" si="17"/>
        <v>0.04</v>
      </c>
      <c r="R77" s="96" t="s">
        <v>234</v>
      </c>
    </row>
    <row r="78" spans="1:18" ht="19.5" customHeight="1" x14ac:dyDescent="0.25">
      <c r="A78" s="81" t="s">
        <v>235</v>
      </c>
      <c r="B78" s="92" t="s">
        <v>236</v>
      </c>
      <c r="C78" s="109">
        <v>0.02</v>
      </c>
      <c r="D78" s="109">
        <v>0.02</v>
      </c>
      <c r="E78" s="109">
        <v>0.02</v>
      </c>
      <c r="F78" s="109">
        <v>0.02</v>
      </c>
      <c r="G78" s="109">
        <v>0.02</v>
      </c>
      <c r="H78" s="109">
        <v>0.02</v>
      </c>
      <c r="I78" s="109">
        <v>0.02</v>
      </c>
      <c r="J78" s="109">
        <v>0.02</v>
      </c>
      <c r="K78" s="109">
        <v>0.02</v>
      </c>
      <c r="L78" s="109">
        <v>0.02</v>
      </c>
      <c r="M78" s="109">
        <v>0.02</v>
      </c>
      <c r="N78" s="109">
        <v>0.02</v>
      </c>
      <c r="O78" s="86">
        <f t="shared" si="19"/>
        <v>1.9999999999999997E-2</v>
      </c>
      <c r="P78" s="66">
        <f t="shared" si="17"/>
        <v>0.02</v>
      </c>
      <c r="R78" s="96" t="s">
        <v>237</v>
      </c>
    </row>
    <row r="79" spans="1:18" ht="19.5" customHeight="1" x14ac:dyDescent="0.25">
      <c r="A79" s="81" t="s">
        <v>238</v>
      </c>
      <c r="B79" s="70" t="s">
        <v>239</v>
      </c>
      <c r="C79" s="110">
        <v>12</v>
      </c>
      <c r="D79" s="110">
        <v>12</v>
      </c>
      <c r="E79" s="110">
        <v>12</v>
      </c>
      <c r="F79" s="110">
        <v>12</v>
      </c>
      <c r="G79" s="110">
        <v>12</v>
      </c>
      <c r="H79" s="110">
        <v>12</v>
      </c>
      <c r="I79" s="110">
        <v>12</v>
      </c>
      <c r="J79" s="110">
        <v>12</v>
      </c>
      <c r="K79" s="110">
        <v>12</v>
      </c>
      <c r="L79" s="110">
        <v>12</v>
      </c>
      <c r="M79" s="110">
        <v>12</v>
      </c>
      <c r="N79" s="110">
        <v>12</v>
      </c>
      <c r="O79" s="94">
        <f t="shared" si="19"/>
        <v>12</v>
      </c>
      <c r="P79" s="95">
        <f t="shared" si="17"/>
        <v>12</v>
      </c>
      <c r="R79" s="96" t="s">
        <v>240</v>
      </c>
    </row>
    <row r="80" spans="1:18" ht="19.5" customHeight="1" x14ac:dyDescent="0.25">
      <c r="A80" s="81" t="s">
        <v>241</v>
      </c>
      <c r="B80" s="38" t="s">
        <v>242</v>
      </c>
      <c r="C80" s="111">
        <v>3</v>
      </c>
      <c r="D80" s="111">
        <v>3</v>
      </c>
      <c r="E80" s="111">
        <v>3</v>
      </c>
      <c r="F80" s="111">
        <v>3</v>
      </c>
      <c r="G80" s="111">
        <v>3</v>
      </c>
      <c r="H80" s="111">
        <v>3</v>
      </c>
      <c r="I80" s="111">
        <v>3</v>
      </c>
      <c r="J80" s="111">
        <v>3</v>
      </c>
      <c r="K80" s="111">
        <v>3</v>
      </c>
      <c r="L80" s="111">
        <v>3</v>
      </c>
      <c r="M80" s="111">
        <v>3</v>
      </c>
      <c r="N80" s="111">
        <v>3</v>
      </c>
      <c r="O80" s="112">
        <f t="shared" si="19"/>
        <v>3</v>
      </c>
      <c r="P80" s="113">
        <f t="shared" si="17"/>
        <v>3</v>
      </c>
      <c r="R80" s="96" t="s">
        <v>243</v>
      </c>
    </row>
    <row r="81" spans="1:18" ht="19.5" customHeight="1" x14ac:dyDescent="0.25">
      <c r="A81" s="81" t="s">
        <v>244</v>
      </c>
      <c r="B81" s="92" t="s">
        <v>245</v>
      </c>
      <c r="C81" s="114">
        <v>1.5</v>
      </c>
      <c r="D81" s="114">
        <v>1.5</v>
      </c>
      <c r="E81" s="114">
        <v>1.5</v>
      </c>
      <c r="F81" s="114">
        <v>1.5</v>
      </c>
      <c r="G81" s="114">
        <v>1.5</v>
      </c>
      <c r="H81" s="114">
        <v>1.5</v>
      </c>
      <c r="I81" s="114">
        <v>1.5</v>
      </c>
      <c r="J81" s="114">
        <v>1.5</v>
      </c>
      <c r="K81" s="114">
        <v>1.5</v>
      </c>
      <c r="L81" s="114">
        <v>1.5</v>
      </c>
      <c r="M81" s="114">
        <v>1.5</v>
      </c>
      <c r="N81" s="114">
        <v>1.5</v>
      </c>
      <c r="O81" s="112">
        <f t="shared" si="19"/>
        <v>1.5</v>
      </c>
      <c r="P81" s="113">
        <f t="shared" si="17"/>
        <v>1.5</v>
      </c>
      <c r="R81" s="96" t="s">
        <v>246</v>
      </c>
    </row>
    <row r="82" spans="1:18" ht="19.5" customHeight="1" x14ac:dyDescent="0.25">
      <c r="A82" s="81" t="s">
        <v>247</v>
      </c>
      <c r="B82" s="107" t="s">
        <v>248</v>
      </c>
      <c r="C82" s="115">
        <f t="shared" ref="C82:N82" si="29">C90</f>
        <v>39</v>
      </c>
      <c r="D82" s="115">
        <f t="shared" si="29"/>
        <v>27</v>
      </c>
      <c r="E82" s="115">
        <f t="shared" si="29"/>
        <v>39</v>
      </c>
      <c r="F82" s="115">
        <f t="shared" si="29"/>
        <v>45</v>
      </c>
      <c r="G82" s="115">
        <f t="shared" si="29"/>
        <v>38</v>
      </c>
      <c r="H82" s="115">
        <f t="shared" si="29"/>
        <v>42</v>
      </c>
      <c r="I82" s="115">
        <f t="shared" si="29"/>
        <v>27</v>
      </c>
      <c r="J82" s="115">
        <f t="shared" si="29"/>
        <v>40</v>
      </c>
      <c r="K82" s="115">
        <f t="shared" si="29"/>
        <v>39</v>
      </c>
      <c r="L82" s="115">
        <f t="shared" si="29"/>
        <v>30</v>
      </c>
      <c r="M82" s="115">
        <f t="shared" si="29"/>
        <v>25</v>
      </c>
      <c r="N82" s="115">
        <f t="shared" si="29"/>
        <v>44</v>
      </c>
      <c r="O82" s="116">
        <f t="shared" si="19"/>
        <v>36.25</v>
      </c>
      <c r="P82" s="117">
        <f t="shared" si="17"/>
        <v>44</v>
      </c>
      <c r="R82" s="84" t="s">
        <v>249</v>
      </c>
    </row>
    <row r="83" spans="1:18" ht="19.5" customHeight="1" x14ac:dyDescent="0.25">
      <c r="A83" s="81" t="s">
        <v>250</v>
      </c>
      <c r="B83" s="92" t="s">
        <v>251</v>
      </c>
      <c r="C83" s="109">
        <v>1.4999999999999999E-2</v>
      </c>
      <c r="D83" s="109">
        <v>1.4999999999999999E-2</v>
      </c>
      <c r="E83" s="109">
        <v>1.4999999999999999E-2</v>
      </c>
      <c r="F83" s="109">
        <v>1.4999999999999999E-2</v>
      </c>
      <c r="G83" s="109">
        <v>1.4999999999999999E-2</v>
      </c>
      <c r="H83" s="109">
        <v>1.4999999999999999E-2</v>
      </c>
      <c r="I83" s="109">
        <v>1.4999999999999999E-2</v>
      </c>
      <c r="J83" s="109">
        <v>1.4999999999999999E-2</v>
      </c>
      <c r="K83" s="109">
        <v>1.4999999999999999E-2</v>
      </c>
      <c r="L83" s="109">
        <v>1.4999999999999999E-2</v>
      </c>
      <c r="M83" s="109">
        <v>1.4999999999999999E-2</v>
      </c>
      <c r="N83" s="109">
        <v>1.4999999999999999E-2</v>
      </c>
      <c r="O83" s="86">
        <f t="shared" si="19"/>
        <v>1.5000000000000005E-2</v>
      </c>
      <c r="P83" s="66">
        <f t="shared" si="17"/>
        <v>1.4999999999999999E-2</v>
      </c>
      <c r="R83" s="96" t="s">
        <v>252</v>
      </c>
    </row>
    <row r="84" spans="1:18" ht="19.5" customHeight="1" x14ac:dyDescent="0.25">
      <c r="A84" s="81" t="s">
        <v>253</v>
      </c>
      <c r="B84" s="107" t="s">
        <v>254</v>
      </c>
      <c r="C84" s="118">
        <f t="shared" ref="C84:N84" si="30">IFERROR(C16/C90,"-")</f>
        <v>12.410256410256411</v>
      </c>
      <c r="D84" s="118">
        <f t="shared" si="30"/>
        <v>19.444444444444443</v>
      </c>
      <c r="E84" s="118">
        <f t="shared" si="30"/>
        <v>11.974358974358974</v>
      </c>
      <c r="F84" s="118">
        <f t="shared" si="30"/>
        <v>11.28888888888889</v>
      </c>
      <c r="G84" s="118">
        <f t="shared" si="30"/>
        <v>12.868421052631579</v>
      </c>
      <c r="H84" s="118">
        <f t="shared" si="30"/>
        <v>12.380952380952381</v>
      </c>
      <c r="I84" s="118">
        <f t="shared" si="30"/>
        <v>16.518518518518519</v>
      </c>
      <c r="J84" s="118">
        <f t="shared" si="30"/>
        <v>12.275</v>
      </c>
      <c r="K84" s="118">
        <f t="shared" si="30"/>
        <v>13.256410256410257</v>
      </c>
      <c r="L84" s="118">
        <f t="shared" si="30"/>
        <v>16.333333333333332</v>
      </c>
      <c r="M84" s="118">
        <f t="shared" si="30"/>
        <v>17.8</v>
      </c>
      <c r="N84" s="118">
        <f t="shared" si="30"/>
        <v>10.75</v>
      </c>
      <c r="O84" s="83">
        <f t="shared" si="19"/>
        <v>13.941715354982902</v>
      </c>
      <c r="P84" s="40">
        <f t="shared" si="17"/>
        <v>10.75</v>
      </c>
      <c r="R84" s="84" t="s">
        <v>255</v>
      </c>
    </row>
    <row r="85" spans="1:18" ht="19.5" customHeight="1" x14ac:dyDescent="0.25">
      <c r="A85" s="81" t="s">
        <v>256</v>
      </c>
      <c r="B85" s="70" t="s">
        <v>257</v>
      </c>
      <c r="C85" s="90">
        <f t="shared" ref="C85:N85" si="31">IFERROR(C92/C16,"-")</f>
        <v>9.2975206611570244E-2</v>
      </c>
      <c r="D85" s="90">
        <f t="shared" si="31"/>
        <v>6.2857142857142861E-2</v>
      </c>
      <c r="E85" s="90">
        <f t="shared" si="31"/>
        <v>6.4239828693790149E-2</v>
      </c>
      <c r="F85" s="90">
        <f t="shared" si="31"/>
        <v>6.2992125984251968E-2</v>
      </c>
      <c r="G85" s="90">
        <f t="shared" si="31"/>
        <v>6.9529652351738247E-2</v>
      </c>
      <c r="H85" s="90">
        <f t="shared" si="31"/>
        <v>8.461538461538462E-2</v>
      </c>
      <c r="I85" s="90">
        <f t="shared" si="31"/>
        <v>5.829596412556054E-2</v>
      </c>
      <c r="J85" s="90">
        <f t="shared" si="31"/>
        <v>5.4989816700610997E-2</v>
      </c>
      <c r="K85" s="90">
        <f t="shared" si="31"/>
        <v>8.7040618955512572E-2</v>
      </c>
      <c r="L85" s="90">
        <f t="shared" si="31"/>
        <v>7.3469387755102047E-2</v>
      </c>
      <c r="M85" s="90">
        <f t="shared" si="31"/>
        <v>7.1910112359550568E-2</v>
      </c>
      <c r="N85" s="90">
        <f t="shared" si="31"/>
        <v>6.765327695560254E-2</v>
      </c>
      <c r="O85" s="86">
        <f t="shared" si="19"/>
        <v>7.0880709830484778E-2</v>
      </c>
      <c r="P85" s="66">
        <f t="shared" si="17"/>
        <v>6.765327695560254E-2</v>
      </c>
      <c r="R85" s="84" t="s">
        <v>258</v>
      </c>
    </row>
    <row r="88" spans="1:18" ht="30" customHeight="1" x14ac:dyDescent="0.25">
      <c r="B88" s="306" t="s">
        <v>259</v>
      </c>
      <c r="C88" s="306"/>
      <c r="D88" s="306"/>
      <c r="E88" s="306"/>
      <c r="F88" s="306"/>
      <c r="G88" s="306"/>
      <c r="H88" s="306"/>
      <c r="I88" s="306"/>
      <c r="J88" s="306"/>
      <c r="K88" s="306"/>
      <c r="L88" s="306"/>
      <c r="M88" s="306"/>
      <c r="N88" s="306"/>
      <c r="O88" s="306"/>
      <c r="P88" s="306"/>
    </row>
    <row r="89" spans="1:18" ht="25.5" customHeight="1" x14ac:dyDescent="0.25">
      <c r="B89" s="26" t="s">
        <v>141</v>
      </c>
      <c r="C89" s="26" t="s">
        <v>62</v>
      </c>
      <c r="D89" s="26" t="s">
        <v>63</v>
      </c>
      <c r="E89" s="26" t="s">
        <v>64</v>
      </c>
      <c r="F89" s="26" t="s">
        <v>65</v>
      </c>
      <c r="G89" s="26" t="s">
        <v>66</v>
      </c>
      <c r="H89" s="26" t="s">
        <v>67</v>
      </c>
      <c r="I89" s="26" t="s">
        <v>68</v>
      </c>
      <c r="J89" s="26" t="s">
        <v>69</v>
      </c>
      <c r="K89" s="26" t="s">
        <v>70</v>
      </c>
      <c r="L89" s="26" t="s">
        <v>71</v>
      </c>
      <c r="M89" s="26" t="s">
        <v>72</v>
      </c>
      <c r="N89" s="26" t="s">
        <v>73</v>
      </c>
      <c r="O89" s="26" t="s">
        <v>142</v>
      </c>
      <c r="P89" s="26" t="s">
        <v>37</v>
      </c>
    </row>
    <row r="90" spans="1:18" ht="18" customHeight="1" x14ac:dyDescent="0.25">
      <c r="B90" s="107" t="s">
        <v>260</v>
      </c>
      <c r="C90" s="33">
        <v>39</v>
      </c>
      <c r="D90" s="33">
        <v>27</v>
      </c>
      <c r="E90" s="33">
        <v>39</v>
      </c>
      <c r="F90" s="33">
        <v>45</v>
      </c>
      <c r="G90" s="33">
        <v>38</v>
      </c>
      <c r="H90" s="33">
        <v>42</v>
      </c>
      <c r="I90" s="33">
        <v>27</v>
      </c>
      <c r="J90" s="33">
        <v>40</v>
      </c>
      <c r="K90" s="33">
        <v>39</v>
      </c>
      <c r="L90" s="33">
        <v>30</v>
      </c>
      <c r="M90" s="33">
        <v>25</v>
      </c>
      <c r="N90" s="33">
        <v>44</v>
      </c>
      <c r="O90" s="119">
        <f>SUM(C90:N90)</f>
        <v>435</v>
      </c>
      <c r="P90" s="41" t="s">
        <v>261</v>
      </c>
    </row>
    <row r="91" spans="1:18" ht="18" customHeight="1" x14ac:dyDescent="0.25">
      <c r="B91" s="6" t="s">
        <v>262</v>
      </c>
      <c r="C91" s="14">
        <v>37</v>
      </c>
      <c r="D91" s="14">
        <v>44</v>
      </c>
      <c r="E91" s="14">
        <v>36</v>
      </c>
      <c r="F91" s="14">
        <v>38</v>
      </c>
      <c r="G91" s="14">
        <v>40</v>
      </c>
      <c r="H91" s="14">
        <v>45</v>
      </c>
      <c r="I91" s="14">
        <v>42</v>
      </c>
      <c r="J91" s="14">
        <v>29</v>
      </c>
      <c r="K91" s="14">
        <v>42</v>
      </c>
      <c r="L91" s="14">
        <v>33</v>
      </c>
      <c r="M91" s="14">
        <v>44</v>
      </c>
      <c r="N91" s="14">
        <v>33</v>
      </c>
      <c r="O91" s="119">
        <f>SUM(C91:N91)</f>
        <v>463</v>
      </c>
      <c r="P91" s="41"/>
    </row>
    <row r="92" spans="1:18" ht="18" customHeight="1" x14ac:dyDescent="0.25">
      <c r="B92" s="107" t="s">
        <v>263</v>
      </c>
      <c r="C92" s="120">
        <v>45</v>
      </c>
      <c r="D92" s="120">
        <v>33</v>
      </c>
      <c r="E92" s="120">
        <v>30</v>
      </c>
      <c r="F92" s="120">
        <v>32</v>
      </c>
      <c r="G92" s="120">
        <v>34</v>
      </c>
      <c r="H92" s="120">
        <v>44</v>
      </c>
      <c r="I92" s="120">
        <v>26</v>
      </c>
      <c r="J92" s="120">
        <v>27</v>
      </c>
      <c r="K92" s="120">
        <v>45</v>
      </c>
      <c r="L92" s="120">
        <v>36</v>
      </c>
      <c r="M92" s="120">
        <v>32</v>
      </c>
      <c r="N92" s="120">
        <v>32</v>
      </c>
      <c r="O92" s="121">
        <f>SUM(C92:N92)</f>
        <v>416</v>
      </c>
      <c r="P92" s="41"/>
    </row>
    <row r="93" spans="1:18" ht="18" customHeight="1" x14ac:dyDescent="0.25">
      <c r="B93" s="6" t="s">
        <v>264</v>
      </c>
      <c r="C93" s="122">
        <v>33</v>
      </c>
      <c r="D93" s="122">
        <v>44</v>
      </c>
      <c r="E93" s="122">
        <v>38</v>
      </c>
      <c r="F93" s="122">
        <v>32</v>
      </c>
      <c r="G93" s="122">
        <v>35</v>
      </c>
      <c r="H93" s="122">
        <v>43</v>
      </c>
      <c r="I93" s="122">
        <v>42</v>
      </c>
      <c r="J93" s="122">
        <v>45</v>
      </c>
      <c r="K93" s="122">
        <v>34</v>
      </c>
      <c r="L93" s="122">
        <v>27</v>
      </c>
      <c r="M93" s="122">
        <v>32</v>
      </c>
      <c r="N93" s="122">
        <v>37</v>
      </c>
      <c r="O93" s="121">
        <f>SUM(C93:N93)</f>
        <v>442</v>
      </c>
      <c r="P93" s="41"/>
    </row>
    <row r="94" spans="1:18" ht="18" customHeight="1" x14ac:dyDescent="0.25">
      <c r="B94" s="107" t="s">
        <v>265</v>
      </c>
      <c r="C94" s="120">
        <v>36</v>
      </c>
      <c r="D94" s="120">
        <v>30</v>
      </c>
      <c r="E94" s="120">
        <v>32</v>
      </c>
      <c r="F94" s="120">
        <v>30</v>
      </c>
      <c r="G94" s="120">
        <v>37</v>
      </c>
      <c r="H94" s="120">
        <v>30</v>
      </c>
      <c r="I94" s="120">
        <v>38</v>
      </c>
      <c r="J94" s="120">
        <v>40</v>
      </c>
      <c r="K94" s="120">
        <v>28</v>
      </c>
      <c r="L94" s="120">
        <v>40</v>
      </c>
      <c r="M94" s="120">
        <v>31</v>
      </c>
      <c r="N94" s="120">
        <v>40</v>
      </c>
      <c r="O94" s="121">
        <f>SUM(C94:N94)</f>
        <v>412</v>
      </c>
      <c r="P94" s="41"/>
    </row>
  </sheetData>
  <mergeCells count="9">
    <mergeCell ref="B42:P42"/>
    <mergeCell ref="B55:Q55"/>
    <mergeCell ref="B56:P56"/>
    <mergeCell ref="B88:P88"/>
    <mergeCell ref="B2:P2"/>
    <mergeCell ref="Q2:Q4"/>
    <mergeCell ref="B3:P3"/>
    <mergeCell ref="B6:P6"/>
    <mergeCell ref="B19:P19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117A65"/>
  </sheetPr>
  <dimension ref="B2:P16"/>
  <sheetViews>
    <sheetView showGridLines="0" zoomScaleNormal="100" workbookViewId="0">
      <selection activeCell="A8" sqref="A8"/>
    </sheetView>
  </sheetViews>
  <sheetFormatPr defaultColWidth="8.7109375" defaultRowHeight="15" x14ac:dyDescent="0.25"/>
  <cols>
    <col min="1" max="1" width="2" style="3" customWidth="1"/>
    <col min="2" max="2" width="26" style="3" customWidth="1"/>
    <col min="3" max="14" width="12" style="3" customWidth="1"/>
    <col min="15" max="16" width="14" style="3" customWidth="1"/>
    <col min="17" max="16384" width="8.7109375" style="3"/>
  </cols>
  <sheetData>
    <row r="2" spans="2:16" ht="27.75" customHeight="1" x14ac:dyDescent="0.25">
      <c r="B2" s="308" t="s">
        <v>266</v>
      </c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</row>
    <row r="3" spans="2:16" ht="24" customHeight="1" x14ac:dyDescent="0.25">
      <c r="B3" s="12" t="s">
        <v>61</v>
      </c>
      <c r="C3" s="12" t="s">
        <v>62</v>
      </c>
      <c r="D3" s="12" t="s">
        <v>63</v>
      </c>
      <c r="E3" s="12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2" t="s">
        <v>69</v>
      </c>
      <c r="K3" s="12" t="s">
        <v>70</v>
      </c>
      <c r="L3" s="12" t="s">
        <v>71</v>
      </c>
      <c r="M3" s="12" t="s">
        <v>72</v>
      </c>
      <c r="N3" s="12" t="s">
        <v>73</v>
      </c>
      <c r="O3" s="12" t="s">
        <v>267</v>
      </c>
      <c r="P3" s="12" t="s">
        <v>268</v>
      </c>
    </row>
    <row r="4" spans="2:16" ht="18" customHeight="1" x14ac:dyDescent="0.25">
      <c r="B4" s="13" t="s">
        <v>74</v>
      </c>
      <c r="C4" s="123">
        <f>'📥 RAW DATA INPUT'!C15</f>
        <v>812</v>
      </c>
      <c r="D4" s="123">
        <f>'📥 RAW DATA INPUT'!D15</f>
        <v>671</v>
      </c>
      <c r="E4" s="123">
        <f>'📥 RAW DATA INPUT'!E15</f>
        <v>744</v>
      </c>
      <c r="F4" s="123">
        <f>'📥 RAW DATA INPUT'!F15</f>
        <v>379</v>
      </c>
      <c r="G4" s="123">
        <f>'📥 RAW DATA INPUT'!G15</f>
        <v>169</v>
      </c>
      <c r="H4" s="123">
        <f>'📥 RAW DATA INPUT'!H15</f>
        <v>344</v>
      </c>
      <c r="I4" s="123">
        <f>'📥 RAW DATA INPUT'!I15</f>
        <v>314</v>
      </c>
      <c r="J4" s="123">
        <f>'📥 RAW DATA INPUT'!J15</f>
        <v>782</v>
      </c>
      <c r="K4" s="123">
        <f>'📥 RAW DATA INPUT'!K15</f>
        <v>854</v>
      </c>
      <c r="L4" s="123">
        <f>'📥 RAW DATA INPUT'!L15</f>
        <v>647</v>
      </c>
      <c r="M4" s="123">
        <f>'📥 RAW DATA INPUT'!M15</f>
        <v>704</v>
      </c>
      <c r="N4" s="123">
        <f>'📥 RAW DATA INPUT'!N15</f>
        <v>797</v>
      </c>
      <c r="O4" s="40">
        <f t="shared" ref="O4:O12" si="0">SUM(C4:N4)</f>
        <v>7217</v>
      </c>
      <c r="P4" s="124" t="s">
        <v>47</v>
      </c>
    </row>
    <row r="5" spans="2:16" ht="18" customHeight="1" x14ac:dyDescent="0.25">
      <c r="B5" s="15" t="s">
        <v>75</v>
      </c>
      <c r="C5" s="52">
        <f>'📥 RAW DATA INPUT'!C16</f>
        <v>255</v>
      </c>
      <c r="D5" s="52">
        <f>'📥 RAW DATA INPUT'!D16</f>
        <v>567</v>
      </c>
      <c r="E5" s="52">
        <f>'📥 RAW DATA INPUT'!E16</f>
        <v>194</v>
      </c>
      <c r="F5" s="52">
        <f>'📥 RAW DATA INPUT'!F16</f>
        <v>487</v>
      </c>
      <c r="G5" s="52">
        <f>'📥 RAW DATA INPUT'!G16</f>
        <v>821</v>
      </c>
      <c r="H5" s="52">
        <f>'📥 RAW DATA INPUT'!H16</f>
        <v>259</v>
      </c>
      <c r="I5" s="52">
        <f>'📥 RAW DATA INPUT'!I16</f>
        <v>187</v>
      </c>
      <c r="J5" s="52">
        <f>'📥 RAW DATA INPUT'!J16</f>
        <v>411</v>
      </c>
      <c r="K5" s="52">
        <f>'📥 RAW DATA INPUT'!K16</f>
        <v>613</v>
      </c>
      <c r="L5" s="52">
        <f>'📥 RAW DATA INPUT'!L16</f>
        <v>230</v>
      </c>
      <c r="M5" s="52">
        <f>'📥 RAW DATA INPUT'!M16</f>
        <v>496</v>
      </c>
      <c r="N5" s="52">
        <f>'📥 RAW DATA INPUT'!N16</f>
        <v>499</v>
      </c>
      <c r="O5" s="40">
        <f t="shared" si="0"/>
        <v>5019</v>
      </c>
      <c r="P5" s="124" t="s">
        <v>47</v>
      </c>
    </row>
    <row r="6" spans="2:16" ht="18" customHeight="1" x14ac:dyDescent="0.25">
      <c r="B6" s="13" t="s">
        <v>76</v>
      </c>
      <c r="C6" s="123">
        <f>'📥 RAW DATA INPUT'!C17</f>
        <v>707</v>
      </c>
      <c r="D6" s="123">
        <f>'📥 RAW DATA INPUT'!D17</f>
        <v>711</v>
      </c>
      <c r="E6" s="123">
        <f>'📥 RAW DATA INPUT'!E17</f>
        <v>615</v>
      </c>
      <c r="F6" s="123">
        <f>'📥 RAW DATA INPUT'!F17</f>
        <v>177</v>
      </c>
      <c r="G6" s="123">
        <f>'📥 RAW DATA INPUT'!G17</f>
        <v>743</v>
      </c>
      <c r="H6" s="123">
        <f>'📥 RAW DATA INPUT'!H17</f>
        <v>572</v>
      </c>
      <c r="I6" s="123">
        <f>'📥 RAW DATA INPUT'!I17</f>
        <v>850</v>
      </c>
      <c r="J6" s="123">
        <f>'📥 RAW DATA INPUT'!J17</f>
        <v>485</v>
      </c>
      <c r="K6" s="123">
        <f>'📥 RAW DATA INPUT'!K17</f>
        <v>619</v>
      </c>
      <c r="L6" s="123">
        <f>'📥 RAW DATA INPUT'!L17</f>
        <v>567</v>
      </c>
      <c r="M6" s="123">
        <f>'📥 RAW DATA INPUT'!M17</f>
        <v>474</v>
      </c>
      <c r="N6" s="123">
        <f>'📥 RAW DATA INPUT'!N17</f>
        <v>861</v>
      </c>
      <c r="O6" s="40">
        <f t="shared" si="0"/>
        <v>7381</v>
      </c>
      <c r="P6" s="124" t="s">
        <v>47</v>
      </c>
    </row>
    <row r="7" spans="2:16" ht="18" customHeight="1" x14ac:dyDescent="0.25">
      <c r="B7" s="15" t="s">
        <v>77</v>
      </c>
      <c r="C7" s="52">
        <f>'📥 RAW DATA INPUT'!C18</f>
        <v>201</v>
      </c>
      <c r="D7" s="52">
        <f>'📥 RAW DATA INPUT'!D18</f>
        <v>182</v>
      </c>
      <c r="E7" s="52">
        <f>'📥 RAW DATA INPUT'!E18</f>
        <v>479</v>
      </c>
      <c r="F7" s="52">
        <f>'📥 RAW DATA INPUT'!F18</f>
        <v>769</v>
      </c>
      <c r="G7" s="52">
        <f>'📥 RAW DATA INPUT'!G18</f>
        <v>252</v>
      </c>
      <c r="H7" s="52">
        <f>'📥 RAW DATA INPUT'!H18</f>
        <v>349</v>
      </c>
      <c r="I7" s="52">
        <f>'📥 RAW DATA INPUT'!I18</f>
        <v>412</v>
      </c>
      <c r="J7" s="52">
        <f>'📥 RAW DATA INPUT'!J18</f>
        <v>223</v>
      </c>
      <c r="K7" s="52">
        <f>'📥 RAW DATA INPUT'!K18</f>
        <v>190</v>
      </c>
      <c r="L7" s="52">
        <f>'📥 RAW DATA INPUT'!L18</f>
        <v>192</v>
      </c>
      <c r="M7" s="52">
        <f>'📥 RAW DATA INPUT'!M18</f>
        <v>864</v>
      </c>
      <c r="N7" s="52">
        <f>'📥 RAW DATA INPUT'!N18</f>
        <v>506</v>
      </c>
      <c r="O7" s="40">
        <f t="shared" si="0"/>
        <v>4619</v>
      </c>
      <c r="P7" s="124" t="s">
        <v>47</v>
      </c>
    </row>
    <row r="8" spans="2:16" ht="18" customHeight="1" x14ac:dyDescent="0.25">
      <c r="B8" s="13" t="s">
        <v>78</v>
      </c>
      <c r="C8" s="123">
        <f>'📥 RAW DATA INPUT'!C19</f>
        <v>817</v>
      </c>
      <c r="D8" s="123">
        <f>'📥 RAW DATA INPUT'!D19</f>
        <v>343</v>
      </c>
      <c r="E8" s="123">
        <f>'📥 RAW DATA INPUT'!E19</f>
        <v>197</v>
      </c>
      <c r="F8" s="123">
        <f>'📥 RAW DATA INPUT'!F19</f>
        <v>646</v>
      </c>
      <c r="G8" s="123">
        <f>'📥 RAW DATA INPUT'!G19</f>
        <v>492</v>
      </c>
      <c r="H8" s="123">
        <f>'📥 RAW DATA INPUT'!H19</f>
        <v>453</v>
      </c>
      <c r="I8" s="123">
        <f>'📥 RAW DATA INPUT'!I19</f>
        <v>583</v>
      </c>
      <c r="J8" s="123">
        <f>'📥 RAW DATA INPUT'!J19</f>
        <v>832</v>
      </c>
      <c r="K8" s="123">
        <f>'📥 RAW DATA INPUT'!K19</f>
        <v>388</v>
      </c>
      <c r="L8" s="123">
        <f>'📥 RAW DATA INPUT'!L19</f>
        <v>505</v>
      </c>
      <c r="M8" s="123">
        <f>'📥 RAW DATA INPUT'!M19</f>
        <v>289</v>
      </c>
      <c r="N8" s="123">
        <f>'📥 RAW DATA INPUT'!N19</f>
        <v>704</v>
      </c>
      <c r="O8" s="40">
        <f t="shared" si="0"/>
        <v>6249</v>
      </c>
      <c r="P8" s="124" t="s">
        <v>47</v>
      </c>
    </row>
    <row r="9" spans="2:16" ht="18" customHeight="1" x14ac:dyDescent="0.25">
      <c r="B9" s="15" t="s">
        <v>79</v>
      </c>
      <c r="C9" s="52">
        <f>'📥 RAW DATA INPUT'!C20</f>
        <v>609</v>
      </c>
      <c r="D9" s="52">
        <f>'📥 RAW DATA INPUT'!D20</f>
        <v>304</v>
      </c>
      <c r="E9" s="52">
        <f>'📥 RAW DATA INPUT'!E20</f>
        <v>217</v>
      </c>
      <c r="F9" s="52">
        <f>'📥 RAW DATA INPUT'!F20</f>
        <v>430</v>
      </c>
      <c r="G9" s="52">
        <f>'📥 RAW DATA INPUT'!G20</f>
        <v>329</v>
      </c>
      <c r="H9" s="52">
        <f>'📥 RAW DATA INPUT'!H20</f>
        <v>386</v>
      </c>
      <c r="I9" s="52">
        <f>'📥 RAW DATA INPUT'!I20</f>
        <v>447</v>
      </c>
      <c r="J9" s="52">
        <f>'📥 RAW DATA INPUT'!J20</f>
        <v>281</v>
      </c>
      <c r="K9" s="52">
        <f>'📥 RAW DATA INPUT'!K20</f>
        <v>376</v>
      </c>
      <c r="L9" s="52">
        <f>'📥 RAW DATA INPUT'!L20</f>
        <v>235</v>
      </c>
      <c r="M9" s="52">
        <f>'📥 RAW DATA INPUT'!M20</f>
        <v>292</v>
      </c>
      <c r="N9" s="52">
        <f>'📥 RAW DATA INPUT'!N20</f>
        <v>874</v>
      </c>
      <c r="O9" s="40">
        <f t="shared" si="0"/>
        <v>4780</v>
      </c>
      <c r="P9" s="124" t="s">
        <v>47</v>
      </c>
    </row>
    <row r="10" spans="2:16" ht="18" customHeight="1" x14ac:dyDescent="0.25">
      <c r="B10" s="13" t="s">
        <v>80</v>
      </c>
      <c r="C10" s="123">
        <f>'📥 RAW DATA INPUT'!C21</f>
        <v>283</v>
      </c>
      <c r="D10" s="123">
        <f>'📥 RAW DATA INPUT'!D21</f>
        <v>791</v>
      </c>
      <c r="E10" s="123">
        <f>'📥 RAW DATA INPUT'!E21</f>
        <v>215</v>
      </c>
      <c r="F10" s="123">
        <f>'📥 RAW DATA INPUT'!F21</f>
        <v>553</v>
      </c>
      <c r="G10" s="123">
        <f>'📥 RAW DATA INPUT'!G21</f>
        <v>416</v>
      </c>
      <c r="H10" s="123">
        <f>'📥 RAW DATA INPUT'!H21</f>
        <v>632</v>
      </c>
      <c r="I10" s="123">
        <f>'📥 RAW DATA INPUT'!I21</f>
        <v>876</v>
      </c>
      <c r="J10" s="123">
        <f>'📥 RAW DATA INPUT'!J21</f>
        <v>869</v>
      </c>
      <c r="K10" s="123">
        <f>'📥 RAW DATA INPUT'!K21</f>
        <v>560</v>
      </c>
      <c r="L10" s="123">
        <f>'📥 RAW DATA INPUT'!L21</f>
        <v>624</v>
      </c>
      <c r="M10" s="123">
        <f>'📥 RAW DATA INPUT'!M21</f>
        <v>530</v>
      </c>
      <c r="N10" s="123">
        <f>'📥 RAW DATA INPUT'!N21</f>
        <v>830</v>
      </c>
      <c r="O10" s="40">
        <f t="shared" si="0"/>
        <v>7179</v>
      </c>
      <c r="P10" s="124" t="s">
        <v>47</v>
      </c>
    </row>
    <row r="11" spans="2:16" ht="18" customHeight="1" x14ac:dyDescent="0.25">
      <c r="B11" s="15" t="s">
        <v>81</v>
      </c>
      <c r="C11" s="52">
        <f>'📥 RAW DATA INPUT'!C22</f>
        <v>300</v>
      </c>
      <c r="D11" s="52">
        <f>'📥 RAW DATA INPUT'!D22</f>
        <v>214</v>
      </c>
      <c r="E11" s="52">
        <f>'📥 RAW DATA INPUT'!E22</f>
        <v>683</v>
      </c>
      <c r="F11" s="52">
        <f>'📥 RAW DATA INPUT'!F22</f>
        <v>621</v>
      </c>
      <c r="G11" s="52">
        <f>'📥 RAW DATA INPUT'!G22</f>
        <v>644</v>
      </c>
      <c r="H11" s="52">
        <f>'📥 RAW DATA INPUT'!H22</f>
        <v>506</v>
      </c>
      <c r="I11" s="52">
        <f>'📥 RAW DATA INPUT'!I22</f>
        <v>215</v>
      </c>
      <c r="J11" s="52">
        <f>'📥 RAW DATA INPUT'!J22</f>
        <v>198</v>
      </c>
      <c r="K11" s="52">
        <f>'📥 RAW DATA INPUT'!K22</f>
        <v>376</v>
      </c>
      <c r="L11" s="52">
        <f>'📥 RAW DATA INPUT'!L22</f>
        <v>767</v>
      </c>
      <c r="M11" s="52">
        <f>'📥 RAW DATA INPUT'!M22</f>
        <v>280</v>
      </c>
      <c r="N11" s="52">
        <f>'📥 RAW DATA INPUT'!N22</f>
        <v>643</v>
      </c>
      <c r="O11" s="40">
        <f t="shared" si="0"/>
        <v>5447</v>
      </c>
      <c r="P11" s="124" t="s">
        <v>47</v>
      </c>
    </row>
    <row r="12" spans="2:16" ht="24" customHeight="1" x14ac:dyDescent="0.25">
      <c r="B12" s="125" t="s">
        <v>82</v>
      </c>
      <c r="C12" s="126">
        <f t="shared" ref="C12:N12" si="1">SUM(C4:C11)</f>
        <v>3984</v>
      </c>
      <c r="D12" s="126">
        <f t="shared" si="1"/>
        <v>3783</v>
      </c>
      <c r="E12" s="126">
        <f t="shared" si="1"/>
        <v>3344</v>
      </c>
      <c r="F12" s="126">
        <f t="shared" si="1"/>
        <v>4062</v>
      </c>
      <c r="G12" s="126">
        <f t="shared" si="1"/>
        <v>3866</v>
      </c>
      <c r="H12" s="126">
        <f t="shared" si="1"/>
        <v>3501</v>
      </c>
      <c r="I12" s="126">
        <f t="shared" si="1"/>
        <v>3884</v>
      </c>
      <c r="J12" s="126">
        <f t="shared" si="1"/>
        <v>4081</v>
      </c>
      <c r="K12" s="126">
        <f t="shared" si="1"/>
        <v>3976</v>
      </c>
      <c r="L12" s="126">
        <f t="shared" si="1"/>
        <v>3767</v>
      </c>
      <c r="M12" s="126">
        <f t="shared" si="1"/>
        <v>3929</v>
      </c>
      <c r="N12" s="126">
        <f t="shared" si="1"/>
        <v>5714</v>
      </c>
      <c r="O12" s="126">
        <f t="shared" si="0"/>
        <v>47891</v>
      </c>
    </row>
    <row r="13" spans="2:16" ht="18" customHeight="1" x14ac:dyDescent="0.25">
      <c r="B13" s="15" t="s">
        <v>269</v>
      </c>
      <c r="C13" s="45" t="s">
        <v>47</v>
      </c>
      <c r="E13" s="54">
        <f t="shared" ref="E13:O13" si="2">IFERROR((E12-D12)/D12,"-")</f>
        <v>-0.11604546656093048</v>
      </c>
      <c r="F13" s="54">
        <f t="shared" si="2"/>
        <v>0.21471291866028708</v>
      </c>
      <c r="G13" s="54">
        <f t="shared" si="2"/>
        <v>-4.8252092565238797E-2</v>
      </c>
      <c r="H13" s="54">
        <f t="shared" si="2"/>
        <v>-9.4412829798241074E-2</v>
      </c>
      <c r="I13" s="54">
        <f t="shared" si="2"/>
        <v>0.10939731505284205</v>
      </c>
      <c r="J13" s="54">
        <f t="shared" si="2"/>
        <v>5.0720906282183315E-2</v>
      </c>
      <c r="K13" s="54">
        <f t="shared" si="2"/>
        <v>-2.5728987993138937E-2</v>
      </c>
      <c r="L13" s="54">
        <f t="shared" si="2"/>
        <v>-5.2565392354124746E-2</v>
      </c>
      <c r="M13" s="54">
        <f t="shared" si="2"/>
        <v>4.3005043801433503E-2</v>
      </c>
      <c r="N13" s="54">
        <f t="shared" si="2"/>
        <v>0.45431407482820058</v>
      </c>
      <c r="O13" s="54">
        <f t="shared" si="2"/>
        <v>7.3813440672033606</v>
      </c>
    </row>
    <row r="16" spans="2:16" ht="19.5" customHeight="1" x14ac:dyDescent="0.25">
      <c r="B16" s="316" t="s">
        <v>270</v>
      </c>
      <c r="C16" s="316"/>
      <c r="D16" s="316"/>
      <c r="E16" s="316"/>
      <c r="F16" s="316"/>
      <c r="G16" s="316"/>
      <c r="H16" s="316"/>
      <c r="I16" s="316"/>
      <c r="J16" s="316"/>
      <c r="K16" s="316"/>
      <c r="L16" s="316"/>
      <c r="M16" s="316"/>
      <c r="N16" s="316"/>
      <c r="O16" s="316"/>
      <c r="P16" s="316"/>
    </row>
  </sheetData>
  <mergeCells count="2">
    <mergeCell ref="B2:M2"/>
    <mergeCell ref="B16:P16"/>
  </mergeCells>
  <conditionalFormatting sqref="D13:N13">
    <cfRule type="cellIs" dxfId="6" priority="2" operator="greaterThan">
      <formula>0</formula>
    </cfRule>
    <cfRule type="cellIs" dxfId="5" priority="3" operator="lessThan">
      <formula>0</formula>
    </cfRule>
  </conditionalFormatting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D4AC0D"/>
  </sheetPr>
  <dimension ref="B2:O31"/>
  <sheetViews>
    <sheetView showGridLines="0" zoomScaleNormal="100" workbookViewId="0">
      <pane xSplit="2" ySplit="3" topLeftCell="G4" activePane="bottomRight" state="frozen"/>
      <selection pane="topRight" activeCell="G1" sqref="G1"/>
      <selection pane="bottomLeft" activeCell="A4" sqref="A4"/>
      <selection pane="bottomRight" activeCell="M16" sqref="M16"/>
    </sheetView>
  </sheetViews>
  <sheetFormatPr defaultColWidth="8.7109375" defaultRowHeight="15" x14ac:dyDescent="0.25"/>
  <cols>
    <col min="1" max="1" width="2" style="3" customWidth="1"/>
    <col min="2" max="2" width="28" style="3" customWidth="1"/>
    <col min="3" max="14" width="13" style="3" customWidth="1"/>
    <col min="15" max="15" width="16" style="3" customWidth="1"/>
    <col min="16" max="16384" width="8.7109375" style="3"/>
  </cols>
  <sheetData>
    <row r="2" spans="2:15" ht="27.75" customHeight="1" x14ac:dyDescent="0.25">
      <c r="B2" s="317" t="s">
        <v>271</v>
      </c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7"/>
    </row>
    <row r="3" spans="2:15" ht="24" customHeight="1" x14ac:dyDescent="0.25">
      <c r="B3" s="127" t="s">
        <v>272</v>
      </c>
      <c r="C3" s="127" t="s">
        <v>62</v>
      </c>
      <c r="D3" s="127" t="s">
        <v>63</v>
      </c>
      <c r="E3" s="127" t="s">
        <v>64</v>
      </c>
      <c r="F3" s="127" t="s">
        <v>65</v>
      </c>
      <c r="G3" s="127" t="s">
        <v>66</v>
      </c>
      <c r="H3" s="127" t="s">
        <v>67</v>
      </c>
      <c r="I3" s="127" t="s">
        <v>68</v>
      </c>
      <c r="J3" s="127" t="s">
        <v>69</v>
      </c>
      <c r="K3" s="127" t="s">
        <v>70</v>
      </c>
      <c r="L3" s="127" t="s">
        <v>71</v>
      </c>
      <c r="M3" s="127" t="s">
        <v>72</v>
      </c>
      <c r="N3" s="127" t="s">
        <v>73</v>
      </c>
      <c r="O3" s="127" t="s">
        <v>273</v>
      </c>
    </row>
    <row r="4" spans="2:15" ht="19.5" customHeight="1" x14ac:dyDescent="0.25">
      <c r="B4" s="42" t="s">
        <v>274</v>
      </c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9"/>
    </row>
    <row r="5" spans="2:15" ht="18" customHeight="1" x14ac:dyDescent="0.25">
      <c r="B5" s="130" t="s">
        <v>275</v>
      </c>
      <c r="C5" s="131">
        <f>'📥 RAW DATA INPUT'!C23</f>
        <v>3984</v>
      </c>
      <c r="D5" s="131">
        <f>'📥 RAW DATA INPUT'!D23</f>
        <v>3783</v>
      </c>
      <c r="E5" s="131">
        <f>'📥 RAW DATA INPUT'!E23</f>
        <v>3344</v>
      </c>
      <c r="F5" s="131">
        <f>'📥 RAW DATA INPUT'!F23</f>
        <v>4062</v>
      </c>
      <c r="G5" s="131">
        <f>'📥 RAW DATA INPUT'!G23</f>
        <v>3866</v>
      </c>
      <c r="H5" s="131">
        <f>'📥 RAW DATA INPUT'!H23</f>
        <v>3501</v>
      </c>
      <c r="I5" s="131">
        <f>'📥 RAW DATA INPUT'!I23</f>
        <v>3884</v>
      </c>
      <c r="J5" s="131">
        <f>'📥 RAW DATA INPUT'!J23</f>
        <v>4081</v>
      </c>
      <c r="K5" s="131">
        <f>'📥 RAW DATA INPUT'!K23</f>
        <v>3976</v>
      </c>
      <c r="L5" s="131">
        <f>'📥 RAW DATA INPUT'!L23</f>
        <v>3767</v>
      </c>
      <c r="M5" s="131">
        <f>'📥 RAW DATA INPUT'!M23</f>
        <v>3929</v>
      </c>
      <c r="N5" s="131">
        <f>'📥 RAW DATA INPUT'!N23</f>
        <v>5714</v>
      </c>
      <c r="O5" s="132">
        <f>SUM(C5:N5)</f>
        <v>47891</v>
      </c>
    </row>
    <row r="6" spans="2:15" ht="19.5" customHeight="1" x14ac:dyDescent="0.25">
      <c r="B6" s="42" t="s">
        <v>276</v>
      </c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9"/>
    </row>
    <row r="7" spans="2:15" ht="18" customHeight="1" x14ac:dyDescent="0.25">
      <c r="B7" s="133" t="s">
        <v>277</v>
      </c>
      <c r="C7" s="134">
        <f>'📥 RAW DATA INPUT'!C28</f>
        <v>71</v>
      </c>
      <c r="D7" s="134">
        <f>'📥 RAW DATA INPUT'!D28</f>
        <v>90</v>
      </c>
      <c r="E7" s="134">
        <f>'📥 RAW DATA INPUT'!E28</f>
        <v>78</v>
      </c>
      <c r="F7" s="134">
        <f>'📥 RAW DATA INPUT'!F28</f>
        <v>78</v>
      </c>
      <c r="G7" s="134">
        <f>'📥 RAW DATA INPUT'!G28</f>
        <v>65</v>
      </c>
      <c r="H7" s="134">
        <f>'📥 RAW DATA INPUT'!H28</f>
        <v>68</v>
      </c>
      <c r="I7" s="134">
        <f>'📥 RAW DATA INPUT'!I28</f>
        <v>59</v>
      </c>
      <c r="J7" s="134">
        <f>'📥 RAW DATA INPUT'!J28</f>
        <v>68</v>
      </c>
      <c r="K7" s="134">
        <f>'📥 RAW DATA INPUT'!K28</f>
        <v>85</v>
      </c>
      <c r="L7" s="134">
        <f>'📥 RAW DATA INPUT'!L28</f>
        <v>87</v>
      </c>
      <c r="M7" s="134">
        <f>'📥 RAW DATA INPUT'!M28</f>
        <v>73</v>
      </c>
      <c r="N7" s="134">
        <f>'📥 RAW DATA INPUT'!N28</f>
        <v>72</v>
      </c>
      <c r="O7" s="72">
        <f>SUM(C7:N7)</f>
        <v>894</v>
      </c>
    </row>
    <row r="8" spans="2:15" ht="18" customHeight="1" x14ac:dyDescent="0.25">
      <c r="B8" s="135" t="s">
        <v>278</v>
      </c>
      <c r="C8" s="52">
        <f t="shared" ref="C8:N8" si="0">C5-C7</f>
        <v>3913</v>
      </c>
      <c r="D8" s="52">
        <f t="shared" si="0"/>
        <v>3693</v>
      </c>
      <c r="E8" s="52">
        <f t="shared" si="0"/>
        <v>3266</v>
      </c>
      <c r="F8" s="52">
        <f t="shared" si="0"/>
        <v>3984</v>
      </c>
      <c r="G8" s="52">
        <f t="shared" si="0"/>
        <v>3801</v>
      </c>
      <c r="H8" s="52">
        <f t="shared" si="0"/>
        <v>3433</v>
      </c>
      <c r="I8" s="52">
        <f t="shared" si="0"/>
        <v>3825</v>
      </c>
      <c r="J8" s="52">
        <f t="shared" si="0"/>
        <v>4013</v>
      </c>
      <c r="K8" s="52">
        <f t="shared" si="0"/>
        <v>3891</v>
      </c>
      <c r="L8" s="52">
        <f t="shared" si="0"/>
        <v>3680</v>
      </c>
      <c r="M8" s="52">
        <f t="shared" si="0"/>
        <v>3856</v>
      </c>
      <c r="N8" s="52">
        <f t="shared" si="0"/>
        <v>5642</v>
      </c>
      <c r="O8" s="40">
        <f>SUM(C8:N8)</f>
        <v>46997</v>
      </c>
    </row>
    <row r="9" spans="2:15" ht="18" customHeight="1" x14ac:dyDescent="0.25">
      <c r="B9" s="135" t="s">
        <v>279</v>
      </c>
      <c r="C9" s="54">
        <f t="shared" ref="C9:N9" si="1">IFERROR(C8/C5,0)</f>
        <v>0.98217871485943775</v>
      </c>
      <c r="D9" s="54">
        <f t="shared" si="1"/>
        <v>0.9762093576526566</v>
      </c>
      <c r="E9" s="54">
        <f t="shared" si="1"/>
        <v>0.97667464114832536</v>
      </c>
      <c r="F9" s="54">
        <f t="shared" si="1"/>
        <v>0.98079763663220088</v>
      </c>
      <c r="G9" s="54">
        <f t="shared" si="1"/>
        <v>0.98318675633729957</v>
      </c>
      <c r="H9" s="54">
        <f t="shared" si="1"/>
        <v>0.98057697800628396</v>
      </c>
      <c r="I9" s="54">
        <f t="shared" si="1"/>
        <v>0.98480947476828007</v>
      </c>
      <c r="J9" s="54">
        <f t="shared" si="1"/>
        <v>0.98333741729968149</v>
      </c>
      <c r="K9" s="54">
        <f t="shared" si="1"/>
        <v>0.97862173038229372</v>
      </c>
      <c r="L9" s="54">
        <f t="shared" si="1"/>
        <v>0.97690469869923013</v>
      </c>
      <c r="M9" s="54">
        <f t="shared" si="1"/>
        <v>0.98142020870450497</v>
      </c>
      <c r="N9" s="54">
        <f t="shared" si="1"/>
        <v>0.98739936996849842</v>
      </c>
      <c r="O9" s="66">
        <f>AVERAGE(C9:N9)</f>
        <v>0.98100974870489088</v>
      </c>
    </row>
    <row r="10" spans="2:15" ht="19.5" customHeight="1" x14ac:dyDescent="0.25">
      <c r="B10" s="50" t="s">
        <v>280</v>
      </c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7"/>
    </row>
    <row r="11" spans="2:15" ht="18" customHeight="1" x14ac:dyDescent="0.25">
      <c r="B11" s="138" t="s">
        <v>86</v>
      </c>
      <c r="C11" s="58">
        <f>'📥 RAW DATA INPUT'!C29</f>
        <v>68</v>
      </c>
      <c r="D11" s="58">
        <f>'📥 RAW DATA INPUT'!D29</f>
        <v>56</v>
      </c>
      <c r="E11" s="58">
        <f>'📥 RAW DATA INPUT'!E29</f>
        <v>56</v>
      </c>
      <c r="F11" s="58">
        <f>'📥 RAW DATA INPUT'!F29</f>
        <v>66</v>
      </c>
      <c r="G11" s="58">
        <f>'📥 RAW DATA INPUT'!G29</f>
        <v>69</v>
      </c>
      <c r="H11" s="58">
        <f>'📥 RAW DATA INPUT'!H29</f>
        <v>80</v>
      </c>
      <c r="I11" s="58">
        <f>'📥 RAW DATA INPUT'!I29</f>
        <v>89</v>
      </c>
      <c r="J11" s="58">
        <f>'📥 RAW DATA INPUT'!J29</f>
        <v>64</v>
      </c>
      <c r="K11" s="58">
        <f>'📥 RAW DATA INPUT'!K29</f>
        <v>59</v>
      </c>
      <c r="L11" s="58">
        <f>'📥 RAW DATA INPUT'!L29</f>
        <v>58</v>
      </c>
      <c r="M11" s="58">
        <f>'📥 RAW DATA INPUT'!M29</f>
        <v>79</v>
      </c>
      <c r="N11" s="58">
        <f>'📥 RAW DATA INPUT'!N29</f>
        <v>94</v>
      </c>
      <c r="O11" s="49">
        <f t="shared" ref="O11:O17" si="2">SUM(C11:N11)</f>
        <v>838</v>
      </c>
    </row>
    <row r="12" spans="2:15" ht="18" customHeight="1" x14ac:dyDescent="0.25">
      <c r="B12" s="138" t="s">
        <v>88</v>
      </c>
      <c r="C12" s="58">
        <f>'📥 RAW DATA INPUT'!C32</f>
        <v>88</v>
      </c>
      <c r="D12" s="58">
        <f>'📥 RAW DATA INPUT'!D32</f>
        <v>60</v>
      </c>
      <c r="E12" s="58">
        <f>'📥 RAW DATA INPUT'!E32</f>
        <v>63</v>
      </c>
      <c r="F12" s="58">
        <f>'📥 RAW DATA INPUT'!F32</f>
        <v>85</v>
      </c>
      <c r="G12" s="58">
        <f>'📥 RAW DATA INPUT'!G32</f>
        <v>59</v>
      </c>
      <c r="H12" s="58">
        <f>'📥 RAW DATA INPUT'!H32</f>
        <v>87</v>
      </c>
      <c r="I12" s="58">
        <f>'📥 RAW DATA INPUT'!I32</f>
        <v>60</v>
      </c>
      <c r="J12" s="58">
        <f>'📥 RAW DATA INPUT'!J32</f>
        <v>58</v>
      </c>
      <c r="K12" s="58">
        <f>'📥 RAW DATA INPUT'!K32</f>
        <v>62</v>
      </c>
      <c r="L12" s="58">
        <f>'📥 RAW DATA INPUT'!L32</f>
        <v>92</v>
      </c>
      <c r="M12" s="58">
        <f>'📥 RAW DATA INPUT'!M32</f>
        <v>65</v>
      </c>
      <c r="N12" s="58">
        <f>'📥 RAW DATA INPUT'!N32</f>
        <v>60</v>
      </c>
      <c r="O12" s="49">
        <f t="shared" si="2"/>
        <v>839</v>
      </c>
    </row>
    <row r="13" spans="2:15" ht="18" customHeight="1" x14ac:dyDescent="0.25">
      <c r="B13" s="138" t="s">
        <v>89</v>
      </c>
      <c r="C13" s="58">
        <f>'📥 RAW DATA INPUT'!C33</f>
        <v>71</v>
      </c>
      <c r="D13" s="58">
        <f>'📥 RAW DATA INPUT'!D33</f>
        <v>83</v>
      </c>
      <c r="E13" s="58">
        <f>'📥 RAW DATA INPUT'!E33</f>
        <v>63</v>
      </c>
      <c r="F13" s="58">
        <f>'📥 RAW DATA INPUT'!F33</f>
        <v>84</v>
      </c>
      <c r="G13" s="58">
        <f>'📥 RAW DATA INPUT'!G33</f>
        <v>92</v>
      </c>
      <c r="H13" s="58">
        <f>'📥 RAW DATA INPUT'!H33</f>
        <v>58</v>
      </c>
      <c r="I13" s="58">
        <f>'📥 RAW DATA INPUT'!I33</f>
        <v>97</v>
      </c>
      <c r="J13" s="58">
        <f>'📥 RAW DATA INPUT'!J33</f>
        <v>63</v>
      </c>
      <c r="K13" s="58">
        <f>'📥 RAW DATA INPUT'!K33</f>
        <v>83</v>
      </c>
      <c r="L13" s="58">
        <f>'📥 RAW DATA INPUT'!L33</f>
        <v>60</v>
      </c>
      <c r="M13" s="58">
        <f>'📥 RAW DATA INPUT'!M33</f>
        <v>73</v>
      </c>
      <c r="N13" s="58">
        <f>'📥 RAW DATA INPUT'!N33</f>
        <v>86</v>
      </c>
      <c r="O13" s="49">
        <f t="shared" si="2"/>
        <v>913</v>
      </c>
    </row>
    <row r="14" spans="2:15" ht="18" customHeight="1" x14ac:dyDescent="0.25">
      <c r="B14" s="138" t="s">
        <v>87</v>
      </c>
      <c r="C14" s="58">
        <f>'📥 RAW DATA INPUT'!C30</f>
        <v>86</v>
      </c>
      <c r="D14" s="58">
        <f>'📥 RAW DATA INPUT'!D30</f>
        <v>65</v>
      </c>
      <c r="E14" s="58">
        <f>'📥 RAW DATA INPUT'!E30</f>
        <v>60</v>
      </c>
      <c r="F14" s="58">
        <f>'📥 RAW DATA INPUT'!F30</f>
        <v>91</v>
      </c>
      <c r="G14" s="58">
        <f>'📥 RAW DATA INPUT'!G30</f>
        <v>65</v>
      </c>
      <c r="H14" s="58">
        <f>'📥 RAW DATA INPUT'!H30</f>
        <v>97</v>
      </c>
      <c r="I14" s="58">
        <f>'📥 RAW DATA INPUT'!I30</f>
        <v>80</v>
      </c>
      <c r="J14" s="58">
        <f>'📥 RAW DATA INPUT'!J30</f>
        <v>95</v>
      </c>
      <c r="K14" s="58">
        <f>'📥 RAW DATA INPUT'!K30</f>
        <v>92</v>
      </c>
      <c r="L14" s="58">
        <f>'📥 RAW DATA INPUT'!L30</f>
        <v>87</v>
      </c>
      <c r="M14" s="58">
        <f>'📥 RAW DATA INPUT'!M30</f>
        <v>55</v>
      </c>
      <c r="N14" s="58">
        <f>'📥 RAW DATA INPUT'!N30</f>
        <v>83</v>
      </c>
      <c r="O14" s="49">
        <f t="shared" si="2"/>
        <v>956</v>
      </c>
    </row>
    <row r="15" spans="2:15" ht="18" customHeight="1" x14ac:dyDescent="0.25">
      <c r="B15" s="138" t="s">
        <v>281</v>
      </c>
      <c r="C15" s="58">
        <f>'📥 RAW DATA INPUT'!C37</f>
        <v>80</v>
      </c>
      <c r="D15" s="58">
        <f>'📥 RAW DATA INPUT'!D37</f>
        <v>84</v>
      </c>
      <c r="E15" s="58">
        <f>'📥 RAW DATA INPUT'!E37</f>
        <v>56</v>
      </c>
      <c r="F15" s="58">
        <f>'📥 RAW DATA INPUT'!F37</f>
        <v>79</v>
      </c>
      <c r="G15" s="58">
        <f>'📥 RAW DATA INPUT'!G37</f>
        <v>88</v>
      </c>
      <c r="H15" s="58">
        <f>'📥 RAW DATA INPUT'!H37</f>
        <v>59</v>
      </c>
      <c r="I15" s="58">
        <f>'📥 RAW DATA INPUT'!I37</f>
        <v>98</v>
      </c>
      <c r="J15" s="58">
        <f>'📥 RAW DATA INPUT'!J37</f>
        <v>65</v>
      </c>
      <c r="K15" s="58">
        <f>'📥 RAW DATA INPUT'!K37</f>
        <v>71</v>
      </c>
      <c r="L15" s="58">
        <f>'📥 RAW DATA INPUT'!L37</f>
        <v>72</v>
      </c>
      <c r="M15" s="58">
        <f>'📥 RAW DATA INPUT'!M37</f>
        <v>78</v>
      </c>
      <c r="N15" s="58">
        <f>'📥 RAW DATA INPUT'!N37</f>
        <v>63</v>
      </c>
      <c r="O15" s="49">
        <f t="shared" si="2"/>
        <v>893</v>
      </c>
    </row>
    <row r="16" spans="2:15" ht="18" customHeight="1" x14ac:dyDescent="0.25">
      <c r="B16" s="139" t="s">
        <v>282</v>
      </c>
      <c r="C16" s="140">
        <f t="shared" ref="C16:N16" si="3">SUM(C11:C15)</f>
        <v>393</v>
      </c>
      <c r="D16" s="140">
        <f t="shared" si="3"/>
        <v>348</v>
      </c>
      <c r="E16" s="140">
        <f t="shared" si="3"/>
        <v>298</v>
      </c>
      <c r="F16" s="140">
        <f t="shared" si="3"/>
        <v>405</v>
      </c>
      <c r="G16" s="140">
        <f t="shared" si="3"/>
        <v>373</v>
      </c>
      <c r="H16" s="140">
        <f t="shared" si="3"/>
        <v>381</v>
      </c>
      <c r="I16" s="140">
        <f t="shared" si="3"/>
        <v>424</v>
      </c>
      <c r="J16" s="140">
        <f t="shared" si="3"/>
        <v>345</v>
      </c>
      <c r="K16" s="140">
        <f t="shared" si="3"/>
        <v>367</v>
      </c>
      <c r="L16" s="140">
        <f t="shared" si="3"/>
        <v>369</v>
      </c>
      <c r="M16" s="140">
        <f t="shared" si="3"/>
        <v>350</v>
      </c>
      <c r="N16" s="140">
        <f t="shared" si="3"/>
        <v>386</v>
      </c>
      <c r="O16" s="141">
        <f t="shared" si="2"/>
        <v>4439</v>
      </c>
    </row>
    <row r="17" spans="2:15" ht="18" customHeight="1" x14ac:dyDescent="0.25">
      <c r="B17" s="142" t="s">
        <v>184</v>
      </c>
      <c r="C17" s="143">
        <f t="shared" ref="C17:N17" si="4">C8-C16</f>
        <v>3520</v>
      </c>
      <c r="D17" s="143">
        <f t="shared" si="4"/>
        <v>3345</v>
      </c>
      <c r="E17" s="143">
        <f t="shared" si="4"/>
        <v>2968</v>
      </c>
      <c r="F17" s="143">
        <f t="shared" si="4"/>
        <v>3579</v>
      </c>
      <c r="G17" s="143">
        <f t="shared" si="4"/>
        <v>3428</v>
      </c>
      <c r="H17" s="143">
        <f t="shared" si="4"/>
        <v>3052</v>
      </c>
      <c r="I17" s="143">
        <f t="shared" si="4"/>
        <v>3401</v>
      </c>
      <c r="J17" s="143">
        <f t="shared" si="4"/>
        <v>3668</v>
      </c>
      <c r="K17" s="143">
        <f t="shared" si="4"/>
        <v>3524</v>
      </c>
      <c r="L17" s="143">
        <f t="shared" si="4"/>
        <v>3311</v>
      </c>
      <c r="M17" s="143">
        <f t="shared" si="4"/>
        <v>3506</v>
      </c>
      <c r="N17" s="143">
        <f t="shared" si="4"/>
        <v>5256</v>
      </c>
      <c r="O17" s="144">
        <f t="shared" si="2"/>
        <v>42558</v>
      </c>
    </row>
    <row r="18" spans="2:15" ht="18" customHeight="1" x14ac:dyDescent="0.25">
      <c r="B18" s="142" t="s">
        <v>283</v>
      </c>
      <c r="C18" s="145">
        <f t="shared" ref="C18:N18" si="5">IFERROR(C17/C5,0)</f>
        <v>0.88353413654618473</v>
      </c>
      <c r="D18" s="145">
        <f t="shared" si="5"/>
        <v>0.88421887390959553</v>
      </c>
      <c r="E18" s="145">
        <f t="shared" si="5"/>
        <v>0.88755980861244022</v>
      </c>
      <c r="F18" s="145">
        <f t="shared" si="5"/>
        <v>0.88109305760709011</v>
      </c>
      <c r="G18" s="145">
        <f t="shared" si="5"/>
        <v>0.88670460424211073</v>
      </c>
      <c r="H18" s="145">
        <f t="shared" si="5"/>
        <v>0.87175092830619827</v>
      </c>
      <c r="I18" s="145">
        <f t="shared" si="5"/>
        <v>0.87564366632337798</v>
      </c>
      <c r="J18" s="145">
        <f t="shared" si="5"/>
        <v>0.89879931389365353</v>
      </c>
      <c r="K18" s="145">
        <f t="shared" si="5"/>
        <v>0.88631790744466799</v>
      </c>
      <c r="L18" s="145">
        <f t="shared" si="5"/>
        <v>0.87894876559596491</v>
      </c>
      <c r="M18" s="145">
        <f t="shared" si="5"/>
        <v>0.89233901756172052</v>
      </c>
      <c r="N18" s="145">
        <f t="shared" si="5"/>
        <v>0.91984599229961495</v>
      </c>
      <c r="O18" s="146">
        <f>AVERAGE(C18:N18)</f>
        <v>0.88722967269521835</v>
      </c>
    </row>
    <row r="19" spans="2:15" ht="18" customHeight="1" x14ac:dyDescent="0.25">
      <c r="B19" s="147" t="s">
        <v>93</v>
      </c>
      <c r="C19" s="148">
        <f>'📥 RAW DATA INPUT'!C36</f>
        <v>80</v>
      </c>
      <c r="D19" s="148">
        <f>'📥 RAW DATA INPUT'!D36</f>
        <v>78</v>
      </c>
      <c r="E19" s="148">
        <f>'📥 RAW DATA INPUT'!E36</f>
        <v>58</v>
      </c>
      <c r="F19" s="148">
        <f>'📥 RAW DATA INPUT'!F36</f>
        <v>91</v>
      </c>
      <c r="G19" s="148">
        <f>'📥 RAW DATA INPUT'!G36</f>
        <v>63</v>
      </c>
      <c r="H19" s="148">
        <f>'📥 RAW DATA INPUT'!H36</f>
        <v>94</v>
      </c>
      <c r="I19" s="148">
        <f>'📥 RAW DATA INPUT'!I36</f>
        <v>84</v>
      </c>
      <c r="J19" s="148">
        <f>'📥 RAW DATA INPUT'!J36</f>
        <v>67</v>
      </c>
      <c r="K19" s="148">
        <f>'📥 RAW DATA INPUT'!K36</f>
        <v>65</v>
      </c>
      <c r="L19" s="148">
        <f>'📥 RAW DATA INPUT'!L36</f>
        <v>81</v>
      </c>
      <c r="M19" s="148">
        <f>'📥 RAW DATA INPUT'!M36</f>
        <v>96</v>
      </c>
      <c r="N19" s="148">
        <f>'📥 RAW DATA INPUT'!N36</f>
        <v>94</v>
      </c>
      <c r="O19" s="149">
        <f>SUM(C19:N19)</f>
        <v>951</v>
      </c>
    </row>
    <row r="20" spans="2:15" ht="18" customHeight="1" x14ac:dyDescent="0.25">
      <c r="B20" s="142" t="s">
        <v>284</v>
      </c>
      <c r="C20" s="143">
        <f t="shared" ref="C20:N20" si="6">C17-C19</f>
        <v>3440</v>
      </c>
      <c r="D20" s="143">
        <f t="shared" si="6"/>
        <v>3267</v>
      </c>
      <c r="E20" s="143">
        <f t="shared" si="6"/>
        <v>2910</v>
      </c>
      <c r="F20" s="143">
        <f t="shared" si="6"/>
        <v>3488</v>
      </c>
      <c r="G20" s="143">
        <f t="shared" si="6"/>
        <v>3365</v>
      </c>
      <c r="H20" s="143">
        <f t="shared" si="6"/>
        <v>2958</v>
      </c>
      <c r="I20" s="143">
        <f t="shared" si="6"/>
        <v>3317</v>
      </c>
      <c r="J20" s="143">
        <f t="shared" si="6"/>
        <v>3601</v>
      </c>
      <c r="K20" s="143">
        <f t="shared" si="6"/>
        <v>3459</v>
      </c>
      <c r="L20" s="143">
        <f t="shared" si="6"/>
        <v>3230</v>
      </c>
      <c r="M20" s="143">
        <f t="shared" si="6"/>
        <v>3410</v>
      </c>
      <c r="N20" s="143">
        <f t="shared" si="6"/>
        <v>5162</v>
      </c>
      <c r="O20" s="144">
        <f>SUM(C20:N20)</f>
        <v>41607</v>
      </c>
    </row>
    <row r="21" spans="2:15" ht="18" customHeight="1" x14ac:dyDescent="0.25">
      <c r="B21" s="147" t="s">
        <v>285</v>
      </c>
      <c r="C21" s="148">
        <v>43</v>
      </c>
      <c r="D21" s="148">
        <v>43</v>
      </c>
      <c r="E21" s="148">
        <v>42</v>
      </c>
      <c r="F21" s="148">
        <v>33</v>
      </c>
      <c r="G21" s="148">
        <v>38</v>
      </c>
      <c r="H21" s="148">
        <v>38</v>
      </c>
      <c r="I21" s="148">
        <v>41</v>
      </c>
      <c r="J21" s="148">
        <v>36</v>
      </c>
      <c r="K21" s="148">
        <v>34</v>
      </c>
      <c r="L21" s="148">
        <v>45</v>
      </c>
      <c r="M21" s="148">
        <v>43</v>
      </c>
      <c r="N21" s="148">
        <v>43</v>
      </c>
      <c r="O21" s="149">
        <f>SUM(C21:N21)</f>
        <v>479</v>
      </c>
    </row>
    <row r="22" spans="2:15" ht="18" customHeight="1" x14ac:dyDescent="0.25">
      <c r="B22" s="142" t="s">
        <v>286</v>
      </c>
      <c r="C22" s="143">
        <f t="shared" ref="C22:N22" si="7">C20-C21</f>
        <v>3397</v>
      </c>
      <c r="D22" s="143">
        <f t="shared" si="7"/>
        <v>3224</v>
      </c>
      <c r="E22" s="143">
        <f t="shared" si="7"/>
        <v>2868</v>
      </c>
      <c r="F22" s="143">
        <f t="shared" si="7"/>
        <v>3455</v>
      </c>
      <c r="G22" s="143">
        <f t="shared" si="7"/>
        <v>3327</v>
      </c>
      <c r="H22" s="143">
        <f t="shared" si="7"/>
        <v>2920</v>
      </c>
      <c r="I22" s="143">
        <f t="shared" si="7"/>
        <v>3276</v>
      </c>
      <c r="J22" s="143">
        <f t="shared" si="7"/>
        <v>3565</v>
      </c>
      <c r="K22" s="143">
        <f t="shared" si="7"/>
        <v>3425</v>
      </c>
      <c r="L22" s="143">
        <f t="shared" si="7"/>
        <v>3185</v>
      </c>
      <c r="M22" s="143">
        <f t="shared" si="7"/>
        <v>3367</v>
      </c>
      <c r="N22" s="143">
        <f t="shared" si="7"/>
        <v>5119</v>
      </c>
      <c r="O22" s="144">
        <f>SUM(C22:N22)</f>
        <v>41128</v>
      </c>
    </row>
    <row r="23" spans="2:15" ht="18" customHeight="1" x14ac:dyDescent="0.25">
      <c r="B23" s="147" t="s">
        <v>287</v>
      </c>
      <c r="C23" s="150">
        <f t="shared" ref="C23:N23" si="8">C22*0.25</f>
        <v>849.25</v>
      </c>
      <c r="D23" s="150">
        <f t="shared" si="8"/>
        <v>806</v>
      </c>
      <c r="E23" s="150">
        <f t="shared" si="8"/>
        <v>717</v>
      </c>
      <c r="F23" s="150">
        <f t="shared" si="8"/>
        <v>863.75</v>
      </c>
      <c r="G23" s="150">
        <f t="shared" si="8"/>
        <v>831.75</v>
      </c>
      <c r="H23" s="150">
        <f t="shared" si="8"/>
        <v>730</v>
      </c>
      <c r="I23" s="150">
        <f t="shared" si="8"/>
        <v>819</v>
      </c>
      <c r="J23" s="150">
        <f t="shared" si="8"/>
        <v>891.25</v>
      </c>
      <c r="K23" s="150">
        <f t="shared" si="8"/>
        <v>856.25</v>
      </c>
      <c r="L23" s="150">
        <f t="shared" si="8"/>
        <v>796.25</v>
      </c>
      <c r="M23" s="150">
        <f t="shared" si="8"/>
        <v>841.75</v>
      </c>
      <c r="N23" s="150">
        <f t="shared" si="8"/>
        <v>1279.75</v>
      </c>
      <c r="O23" s="151">
        <f>AVERAGE(C23:N23)</f>
        <v>856.83333333333337</v>
      </c>
    </row>
    <row r="24" spans="2:15" ht="18" customHeight="1" x14ac:dyDescent="0.25">
      <c r="B24" s="142" t="s">
        <v>288</v>
      </c>
      <c r="C24" s="143">
        <f t="shared" ref="C24:N24" si="9">C22-C23</f>
        <v>2547.75</v>
      </c>
      <c r="D24" s="143">
        <f t="shared" si="9"/>
        <v>2418</v>
      </c>
      <c r="E24" s="143">
        <f t="shared" si="9"/>
        <v>2151</v>
      </c>
      <c r="F24" s="143">
        <f t="shared" si="9"/>
        <v>2591.25</v>
      </c>
      <c r="G24" s="143">
        <f t="shared" si="9"/>
        <v>2495.25</v>
      </c>
      <c r="H24" s="143">
        <f t="shared" si="9"/>
        <v>2190</v>
      </c>
      <c r="I24" s="143">
        <f t="shared" si="9"/>
        <v>2457</v>
      </c>
      <c r="J24" s="143">
        <f t="shared" si="9"/>
        <v>2673.75</v>
      </c>
      <c r="K24" s="143">
        <f t="shared" si="9"/>
        <v>2568.75</v>
      </c>
      <c r="L24" s="143">
        <f t="shared" si="9"/>
        <v>2388.75</v>
      </c>
      <c r="M24" s="143">
        <f t="shared" si="9"/>
        <v>2525.25</v>
      </c>
      <c r="N24" s="143">
        <f t="shared" si="9"/>
        <v>3839.25</v>
      </c>
      <c r="O24" s="144">
        <f>SUM(C24:N24)</f>
        <v>30846</v>
      </c>
    </row>
    <row r="25" spans="2:15" ht="18" customHeight="1" x14ac:dyDescent="0.25">
      <c r="B25" s="142" t="s">
        <v>289</v>
      </c>
      <c r="C25" s="145">
        <f t="shared" ref="C25:N25" si="10">IFERROR(C24/C5,0)</f>
        <v>0.63949548192771088</v>
      </c>
      <c r="D25" s="145">
        <f t="shared" si="10"/>
        <v>0.63917525773195871</v>
      </c>
      <c r="E25" s="145">
        <f t="shared" si="10"/>
        <v>0.64324162679425834</v>
      </c>
      <c r="F25" s="145">
        <f t="shared" si="10"/>
        <v>0.63792466765140321</v>
      </c>
      <c r="G25" s="145">
        <f t="shared" si="10"/>
        <v>0.64543455768235902</v>
      </c>
      <c r="H25" s="145">
        <f t="shared" si="10"/>
        <v>0.62553556126820908</v>
      </c>
      <c r="I25" s="145">
        <f t="shared" si="10"/>
        <v>0.63259526261585997</v>
      </c>
      <c r="J25" s="145">
        <f t="shared" si="10"/>
        <v>0.6551703013967165</v>
      </c>
      <c r="K25" s="145">
        <f t="shared" si="10"/>
        <v>0.6460638832997988</v>
      </c>
      <c r="L25" s="145">
        <f t="shared" si="10"/>
        <v>0.63412529864613754</v>
      </c>
      <c r="M25" s="145">
        <f t="shared" si="10"/>
        <v>0.64272079409518956</v>
      </c>
      <c r="N25" s="145">
        <f t="shared" si="10"/>
        <v>0.67190234511725588</v>
      </c>
      <c r="O25" s="146">
        <f>AVERAGE(C25:N25)</f>
        <v>0.64278208651890467</v>
      </c>
    </row>
    <row r="26" spans="2:15" ht="24" customHeight="1" x14ac:dyDescent="0.25">
      <c r="B26" s="318" t="s">
        <v>290</v>
      </c>
      <c r="C26" s="318"/>
      <c r="D26" s="318"/>
      <c r="E26" s="318"/>
      <c r="F26" s="318"/>
      <c r="G26" s="318"/>
      <c r="H26" s="318"/>
      <c r="I26" s="318"/>
      <c r="J26" s="318"/>
      <c r="K26" s="318"/>
      <c r="L26" s="318"/>
      <c r="M26" s="318"/>
      <c r="N26" s="318"/>
      <c r="O26" s="318"/>
    </row>
    <row r="27" spans="2:15" ht="19.5" customHeight="1" x14ac:dyDescent="0.25">
      <c r="B27" s="47" t="s">
        <v>291</v>
      </c>
      <c r="C27" s="152">
        <f>'🏦 CASH FLOW'!C10</f>
        <v>-102</v>
      </c>
      <c r="D27" s="152">
        <f>'🏦 CASH FLOW'!D10</f>
        <v>-89</v>
      </c>
      <c r="E27" s="152">
        <f>'🏦 CASH FLOW'!E10</f>
        <v>-88</v>
      </c>
      <c r="F27" s="152">
        <f>'🏦 CASH FLOW'!F10</f>
        <v>-93</v>
      </c>
      <c r="G27" s="152">
        <f>'🏦 CASH FLOW'!G10</f>
        <v>-104</v>
      </c>
      <c r="H27" s="152">
        <f>'🏦 CASH FLOW'!H10</f>
        <v>-83</v>
      </c>
      <c r="I27" s="152">
        <f>'🏦 CASH FLOW'!I10</f>
        <v>-81</v>
      </c>
      <c r="J27" s="152">
        <f>'🏦 CASH FLOW'!J10</f>
        <v>-95</v>
      </c>
      <c r="K27" s="152">
        <f>'🏦 CASH FLOW'!K10</f>
        <v>-90</v>
      </c>
      <c r="L27" s="152">
        <f>'🏦 CASH FLOW'!L10</f>
        <v>-97</v>
      </c>
      <c r="M27" s="152">
        <f>'🏦 CASH FLOW'!M10</f>
        <v>-102</v>
      </c>
      <c r="N27" s="152">
        <f>'🏦 CASH FLOW'!N10</f>
        <v>-96</v>
      </c>
      <c r="O27" s="153">
        <f>IFERROR(SUM(C27:N27),"-")</f>
        <v>-1120</v>
      </c>
    </row>
    <row r="28" spans="2:15" ht="19.5" customHeight="1" x14ac:dyDescent="0.25">
      <c r="B28" s="38" t="s">
        <v>292</v>
      </c>
      <c r="C28" s="154">
        <f>IFERROR('🏦 CASH FLOW'!C10-'🏦 CASH FLOW'!C12,"-")</f>
        <v>-197</v>
      </c>
      <c r="D28" s="154">
        <f>IFERROR('🏦 CASH FLOW'!D10-'🏦 CASH FLOW'!D12,"-")</f>
        <v>-172</v>
      </c>
      <c r="E28" s="154">
        <f>IFERROR('🏦 CASH FLOW'!E10-'🏦 CASH FLOW'!E12,"-")</f>
        <v>-185</v>
      </c>
      <c r="F28" s="154">
        <f>IFERROR('🏦 CASH FLOW'!F10-'🏦 CASH FLOW'!F12,"-")</f>
        <v>-181</v>
      </c>
      <c r="G28" s="154">
        <f>IFERROR('🏦 CASH FLOW'!G10-'🏦 CASH FLOW'!G12,"-")</f>
        <v>-200</v>
      </c>
      <c r="H28" s="154">
        <f>IFERROR('🏦 CASH FLOW'!H10-'🏦 CASH FLOW'!H12,"-")</f>
        <v>-167</v>
      </c>
      <c r="I28" s="154">
        <f>IFERROR('🏦 CASH FLOW'!I10-'🏦 CASH FLOW'!I12,"-")</f>
        <v>-161</v>
      </c>
      <c r="J28" s="154">
        <f>IFERROR('🏦 CASH FLOW'!J10-'🏦 CASH FLOW'!J12,"-")</f>
        <v>-175</v>
      </c>
      <c r="K28" s="154">
        <f>IFERROR('🏦 CASH FLOW'!K10-'🏦 CASH FLOW'!K12,"-")</f>
        <v>-171</v>
      </c>
      <c r="L28" s="154">
        <f>IFERROR('🏦 CASH FLOW'!L10-'🏦 CASH FLOW'!L12,"-")</f>
        <v>-174</v>
      </c>
      <c r="M28" s="154">
        <f>IFERROR('🏦 CASH FLOW'!M10-'🏦 CASH FLOW'!M12,"-")</f>
        <v>-194</v>
      </c>
      <c r="N28" s="154">
        <f>IFERROR('🏦 CASH FLOW'!N10-'🏦 CASH FLOW'!N12,"-")</f>
        <v>-194</v>
      </c>
      <c r="O28" s="153">
        <f>IFERROR(SUM(C28:N28),"-")</f>
        <v>-2171</v>
      </c>
    </row>
    <row r="29" spans="2:15" ht="19.5" customHeight="1" x14ac:dyDescent="0.25">
      <c r="B29" s="87" t="s">
        <v>203</v>
      </c>
      <c r="C29" s="155">
        <f>IFERROR('🏦 CASH FLOW'!C10/C17,"-")</f>
        <v>-2.8977272727272727E-2</v>
      </c>
      <c r="D29" s="155">
        <f>IFERROR('🏦 CASH FLOW'!D10/D17,"-")</f>
        <v>-2.6606875934230195E-2</v>
      </c>
      <c r="E29" s="155">
        <f>IFERROR('🏦 CASH FLOW'!E10/E17,"-")</f>
        <v>-2.9649595687331536E-2</v>
      </c>
      <c r="F29" s="155">
        <f>IFERROR('🏦 CASH FLOW'!F10/F17,"-")</f>
        <v>-2.5984911986588432E-2</v>
      </c>
      <c r="G29" s="155">
        <f>IFERROR('🏦 CASH FLOW'!G10/G17,"-")</f>
        <v>-3.0338389731621937E-2</v>
      </c>
      <c r="H29" s="155">
        <f>IFERROR('🏦 CASH FLOW'!H10/H17,"-")</f>
        <v>-2.7195281782437745E-2</v>
      </c>
      <c r="I29" s="155">
        <f>IFERROR('🏦 CASH FLOW'!I10/I17,"-")</f>
        <v>-2.3816524551602471E-2</v>
      </c>
      <c r="J29" s="155">
        <f>IFERROR('🏦 CASH FLOW'!J10/J17,"-")</f>
        <v>-2.5899672846237731E-2</v>
      </c>
      <c r="K29" s="155">
        <f>IFERROR('🏦 CASH FLOW'!K10/K17,"-")</f>
        <v>-2.553916004540295E-2</v>
      </c>
      <c r="L29" s="155">
        <f>IFERROR('🏦 CASH FLOW'!L10/L17,"-")</f>
        <v>-2.9296285110238598E-2</v>
      </c>
      <c r="M29" s="155">
        <f>IFERROR('🏦 CASH FLOW'!M10/M17,"-")</f>
        <v>-2.9092983456930975E-2</v>
      </c>
      <c r="N29" s="155">
        <f>IFERROR('🏦 CASH FLOW'!N10/N17,"-")</f>
        <v>-1.8264840182648401E-2</v>
      </c>
      <c r="O29" s="156">
        <f>IFERROR(AVERAGE(C29:N29),"-")</f>
        <v>-2.6721816170211968E-2</v>
      </c>
    </row>
    <row r="30" spans="2:15" ht="19.5" customHeight="1" x14ac:dyDescent="0.25">
      <c r="B30" s="87" t="s">
        <v>206</v>
      </c>
      <c r="C30" s="155">
        <f>IFERROR('🏦 CASH FLOW'!C5/'📥 RAW DATA INPUT'!C23,"-")</f>
        <v>2.0833333333333332E-2</v>
      </c>
      <c r="D30" s="155">
        <f>IFERROR('🏦 CASH FLOW'!D5/'📥 RAW DATA INPUT'!D23,"-")</f>
        <v>2.3261961406291304E-2</v>
      </c>
      <c r="E30" s="155">
        <f>IFERROR('🏦 CASH FLOW'!E5/'📥 RAW DATA INPUT'!E23,"-")</f>
        <v>2.8110047846889953E-2</v>
      </c>
      <c r="F30" s="155">
        <f>IFERROR('🏦 CASH FLOW'!F5/'📥 RAW DATA INPUT'!F23,"-")</f>
        <v>2.3387493845396356E-2</v>
      </c>
      <c r="G30" s="155">
        <f>IFERROR('🏦 CASH FLOW'!G5/'📥 RAW DATA INPUT'!G23,"-")</f>
        <v>2.2245214692188309E-2</v>
      </c>
      <c r="H30" s="155">
        <f>IFERROR('🏦 CASH FLOW'!H5/'📥 RAW DATA INPUT'!H23,"-")</f>
        <v>2.570694087403599E-2</v>
      </c>
      <c r="I30" s="155">
        <f>IFERROR('🏦 CASH FLOW'!I5/'📥 RAW DATA INPUT'!I23,"-")</f>
        <v>2.4716786817713696E-2</v>
      </c>
      <c r="J30" s="155">
        <f>IFERROR('🏦 CASH FLOW'!J5/'📥 RAW DATA INPUT'!J23,"-")</f>
        <v>2.254349424160745E-2</v>
      </c>
      <c r="K30" s="155">
        <f>IFERROR('🏦 CASH FLOW'!K5/'📥 RAW DATA INPUT'!K23,"-")</f>
        <v>2.4899396378269618E-2</v>
      </c>
      <c r="L30" s="155">
        <f>IFERROR('🏦 CASH FLOW'!L5/'📥 RAW DATA INPUT'!L23,"-")</f>
        <v>2.0706132200690206E-2</v>
      </c>
      <c r="M30" s="155">
        <f>IFERROR('🏦 CASH FLOW'!M5/'📥 RAW DATA INPUT'!M23,"-")</f>
        <v>2.2906592008144565E-2</v>
      </c>
      <c r="N30" s="155">
        <f>IFERROR('🏦 CASH FLOW'!N5/'📥 RAW DATA INPUT'!N23,"-")</f>
        <v>1.3650682534126707E-2</v>
      </c>
      <c r="O30" s="156">
        <f>IFERROR(AVERAGE(C30:N30),"-")</f>
        <v>2.2747339681557292E-2</v>
      </c>
    </row>
    <row r="31" spans="2:15" ht="19.5" customHeight="1" x14ac:dyDescent="0.25">
      <c r="B31" s="70" t="s">
        <v>194</v>
      </c>
      <c r="C31" s="68">
        <f t="shared" ref="C31:N31" si="11">IFERROR(C16/C5,"-")</f>
        <v>9.8644578313253017E-2</v>
      </c>
      <c r="D31" s="68">
        <f t="shared" si="11"/>
        <v>9.1990483743061069E-2</v>
      </c>
      <c r="E31" s="68">
        <f t="shared" si="11"/>
        <v>8.9114832535885161E-2</v>
      </c>
      <c r="F31" s="68">
        <f t="shared" si="11"/>
        <v>9.9704579025110776E-2</v>
      </c>
      <c r="G31" s="68">
        <f t="shared" si="11"/>
        <v>9.6482152095188831E-2</v>
      </c>
      <c r="H31" s="68">
        <f t="shared" si="11"/>
        <v>0.10882604970008569</v>
      </c>
      <c r="I31" s="68">
        <f t="shared" si="11"/>
        <v>0.10916580844490216</v>
      </c>
      <c r="J31" s="68">
        <f t="shared" si="11"/>
        <v>8.4538103406027937E-2</v>
      </c>
      <c r="K31" s="68">
        <f t="shared" si="11"/>
        <v>9.2303822937625749E-2</v>
      </c>
      <c r="L31" s="68">
        <f t="shared" si="11"/>
        <v>9.7955933103265197E-2</v>
      </c>
      <c r="M31" s="68">
        <f t="shared" si="11"/>
        <v>8.9081191142784427E-2</v>
      </c>
      <c r="N31" s="68">
        <f t="shared" si="11"/>
        <v>6.7553377668883446E-2</v>
      </c>
      <c r="O31" s="157">
        <f>IFERROR(AVERAGE(C31:N31),"-")</f>
        <v>9.3780076009672794E-2</v>
      </c>
    </row>
  </sheetData>
  <mergeCells count="2">
    <mergeCell ref="B2:M2"/>
    <mergeCell ref="B26:O26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A6F1E"/>
  </sheetPr>
  <dimension ref="B2:O21"/>
  <sheetViews>
    <sheetView showGridLines="0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16" sqref="A16"/>
    </sheetView>
  </sheetViews>
  <sheetFormatPr defaultColWidth="8.7109375" defaultRowHeight="15" x14ac:dyDescent="0.25"/>
  <cols>
    <col min="1" max="1" width="2" style="3" customWidth="1"/>
    <col min="2" max="2" width="28" style="3" customWidth="1"/>
    <col min="3" max="14" width="13" style="3" customWidth="1"/>
    <col min="15" max="15" width="16" style="3" customWidth="1"/>
    <col min="16" max="16384" width="8.7109375" style="3"/>
  </cols>
  <sheetData>
    <row r="2" spans="2:15" ht="27.75" customHeight="1" x14ac:dyDescent="0.25">
      <c r="B2" s="319" t="s">
        <v>293</v>
      </c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</row>
    <row r="3" spans="2:15" ht="24" customHeight="1" x14ac:dyDescent="0.25">
      <c r="B3" s="18" t="s">
        <v>294</v>
      </c>
      <c r="C3" s="18" t="s">
        <v>62</v>
      </c>
      <c r="D3" s="18" t="s">
        <v>63</v>
      </c>
      <c r="E3" s="18" t="s">
        <v>64</v>
      </c>
      <c r="F3" s="18" t="s">
        <v>65</v>
      </c>
      <c r="G3" s="18" t="s">
        <v>66</v>
      </c>
      <c r="H3" s="18" t="s">
        <v>67</v>
      </c>
      <c r="I3" s="18" t="s">
        <v>68</v>
      </c>
      <c r="J3" s="18" t="s">
        <v>69</v>
      </c>
      <c r="K3" s="18" t="s">
        <v>70</v>
      </c>
      <c r="L3" s="18" t="s">
        <v>71</v>
      </c>
      <c r="M3" s="18" t="s">
        <v>72</v>
      </c>
      <c r="N3" s="18" t="s">
        <v>73</v>
      </c>
      <c r="O3" s="18" t="s">
        <v>273</v>
      </c>
    </row>
    <row r="4" spans="2:15" ht="19.5" customHeight="1" x14ac:dyDescent="0.25">
      <c r="B4" s="158" t="s">
        <v>295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60"/>
    </row>
    <row r="5" spans="2:15" ht="18" customHeight="1" x14ac:dyDescent="0.25">
      <c r="B5" s="161" t="s">
        <v>99</v>
      </c>
      <c r="C5" s="134">
        <f>'📥 RAW DATA INPUT'!C44</f>
        <v>83</v>
      </c>
      <c r="D5" s="134">
        <f>'📥 RAW DATA INPUT'!D44</f>
        <v>88</v>
      </c>
      <c r="E5" s="134">
        <f>'📥 RAW DATA INPUT'!E44</f>
        <v>94</v>
      </c>
      <c r="F5" s="134">
        <f>'📥 RAW DATA INPUT'!F44</f>
        <v>95</v>
      </c>
      <c r="G5" s="134">
        <f>'📥 RAW DATA INPUT'!G44</f>
        <v>86</v>
      </c>
      <c r="H5" s="134">
        <f>'📥 RAW DATA INPUT'!H44</f>
        <v>90</v>
      </c>
      <c r="I5" s="134">
        <f>'📥 RAW DATA INPUT'!I44</f>
        <v>96</v>
      </c>
      <c r="J5" s="134">
        <f>'📥 RAW DATA INPUT'!J44</f>
        <v>92</v>
      </c>
      <c r="K5" s="134">
        <f>'📥 RAW DATA INPUT'!K44</f>
        <v>99</v>
      </c>
      <c r="L5" s="134">
        <f>'📥 RAW DATA INPUT'!L44</f>
        <v>78</v>
      </c>
      <c r="M5" s="134">
        <f>'📥 RAW DATA INPUT'!M44</f>
        <v>90</v>
      </c>
      <c r="N5" s="134">
        <f>'📥 RAW DATA INPUT'!N44</f>
        <v>78</v>
      </c>
      <c r="O5" s="72">
        <f t="shared" ref="O5:O10" si="0">SUM(C5:N5)</f>
        <v>1069</v>
      </c>
    </row>
    <row r="6" spans="2:15" ht="18" customHeight="1" x14ac:dyDescent="0.25">
      <c r="B6" s="161" t="s">
        <v>100</v>
      </c>
      <c r="C6" s="134">
        <f>'📥 RAW DATA INPUT'!C45</f>
        <v>79</v>
      </c>
      <c r="D6" s="134">
        <f>'📥 RAW DATA INPUT'!D45</f>
        <v>94</v>
      </c>
      <c r="E6" s="134">
        <f>'📥 RAW DATA INPUT'!E45</f>
        <v>77</v>
      </c>
      <c r="F6" s="134">
        <f>'📥 RAW DATA INPUT'!F45</f>
        <v>88</v>
      </c>
      <c r="G6" s="134">
        <f>'📥 RAW DATA INPUT'!G45</f>
        <v>94</v>
      </c>
      <c r="H6" s="134">
        <f>'📥 RAW DATA INPUT'!H45</f>
        <v>89</v>
      </c>
      <c r="I6" s="134">
        <f>'📥 RAW DATA INPUT'!I45</f>
        <v>97</v>
      </c>
      <c r="J6" s="134">
        <f>'📥 RAW DATA INPUT'!J45</f>
        <v>96</v>
      </c>
      <c r="K6" s="134">
        <f>'📥 RAW DATA INPUT'!K45</f>
        <v>77</v>
      </c>
      <c r="L6" s="134">
        <f>'📥 RAW DATA INPUT'!L45</f>
        <v>96</v>
      </c>
      <c r="M6" s="134">
        <f>'📥 RAW DATA INPUT'!M45</f>
        <v>92</v>
      </c>
      <c r="N6" s="134">
        <f>'📥 RAW DATA INPUT'!N45</f>
        <v>89</v>
      </c>
      <c r="O6" s="72">
        <f t="shared" si="0"/>
        <v>1068</v>
      </c>
    </row>
    <row r="7" spans="2:15" ht="18" customHeight="1" x14ac:dyDescent="0.25">
      <c r="B7" s="161" t="s">
        <v>164</v>
      </c>
      <c r="C7" s="134">
        <f>'📥 RAW DATA INPUT'!C46</f>
        <v>97</v>
      </c>
      <c r="D7" s="134">
        <f>'📥 RAW DATA INPUT'!D46</f>
        <v>94</v>
      </c>
      <c r="E7" s="134">
        <f>'📥 RAW DATA INPUT'!E46</f>
        <v>78</v>
      </c>
      <c r="F7" s="134">
        <f>'📥 RAW DATA INPUT'!F46</f>
        <v>98</v>
      </c>
      <c r="G7" s="134">
        <f>'📥 RAW DATA INPUT'!G46</f>
        <v>94</v>
      </c>
      <c r="H7" s="134">
        <f>'📥 RAW DATA INPUT'!H46</f>
        <v>98</v>
      </c>
      <c r="I7" s="134">
        <f>'📥 RAW DATA INPUT'!I46</f>
        <v>96</v>
      </c>
      <c r="J7" s="134">
        <f>'📥 RAW DATA INPUT'!J46</f>
        <v>96</v>
      </c>
      <c r="K7" s="134">
        <f>'📥 RAW DATA INPUT'!K46</f>
        <v>91</v>
      </c>
      <c r="L7" s="134">
        <f>'📥 RAW DATA INPUT'!L46</f>
        <v>93</v>
      </c>
      <c r="M7" s="134">
        <f>'📥 RAW DATA INPUT'!M46</f>
        <v>95</v>
      </c>
      <c r="N7" s="134">
        <f>'📥 RAW DATA INPUT'!N46</f>
        <v>83</v>
      </c>
      <c r="O7" s="72">
        <f t="shared" si="0"/>
        <v>1113</v>
      </c>
    </row>
    <row r="8" spans="2:15" ht="18" customHeight="1" x14ac:dyDescent="0.25">
      <c r="B8" s="161" t="s">
        <v>102</v>
      </c>
      <c r="C8" s="134">
        <f>'📥 RAW DATA INPUT'!C47</f>
        <v>77</v>
      </c>
      <c r="D8" s="134">
        <f>'📥 RAW DATA INPUT'!D47</f>
        <v>80</v>
      </c>
      <c r="E8" s="134">
        <f>'📥 RAW DATA INPUT'!E47</f>
        <v>95</v>
      </c>
      <c r="F8" s="134">
        <f>'📥 RAW DATA INPUT'!F47</f>
        <v>83</v>
      </c>
      <c r="G8" s="134">
        <f>'📥 RAW DATA INPUT'!G47</f>
        <v>97</v>
      </c>
      <c r="H8" s="134">
        <f>'📥 RAW DATA INPUT'!H47</f>
        <v>79</v>
      </c>
      <c r="I8" s="134">
        <f>'📥 RAW DATA INPUT'!I47</f>
        <v>95</v>
      </c>
      <c r="J8" s="134">
        <f>'📥 RAW DATA INPUT'!J47</f>
        <v>90</v>
      </c>
      <c r="K8" s="134">
        <f>'📥 RAW DATA INPUT'!K47</f>
        <v>96</v>
      </c>
      <c r="L8" s="134">
        <f>'📥 RAW DATA INPUT'!L47</f>
        <v>84</v>
      </c>
      <c r="M8" s="134">
        <f>'📥 RAW DATA INPUT'!M47</f>
        <v>90</v>
      </c>
      <c r="N8" s="134">
        <f>'📥 RAW DATA INPUT'!N47</f>
        <v>82</v>
      </c>
      <c r="O8" s="72">
        <f t="shared" si="0"/>
        <v>1048</v>
      </c>
    </row>
    <row r="9" spans="2:15" ht="18" customHeight="1" x14ac:dyDescent="0.25">
      <c r="B9" s="161" t="s">
        <v>105</v>
      </c>
      <c r="C9" s="134">
        <f>'📥 RAW DATA INPUT'!C50</f>
        <v>90</v>
      </c>
      <c r="D9" s="134">
        <f>'📥 RAW DATA INPUT'!D50</f>
        <v>97</v>
      </c>
      <c r="E9" s="134">
        <f>'📥 RAW DATA INPUT'!E50</f>
        <v>86</v>
      </c>
      <c r="F9" s="134">
        <f>'📥 RAW DATA INPUT'!F50</f>
        <v>95</v>
      </c>
      <c r="G9" s="134">
        <f>'📥 RAW DATA INPUT'!G50</f>
        <v>93</v>
      </c>
      <c r="H9" s="134">
        <f>'📥 RAW DATA INPUT'!H50</f>
        <v>85</v>
      </c>
      <c r="I9" s="134">
        <f>'📥 RAW DATA INPUT'!I50</f>
        <v>83</v>
      </c>
      <c r="J9" s="134">
        <f>'📥 RAW DATA INPUT'!J50</f>
        <v>97</v>
      </c>
      <c r="K9" s="134">
        <f>'📥 RAW DATA INPUT'!K50</f>
        <v>79</v>
      </c>
      <c r="L9" s="134">
        <f>'📥 RAW DATA INPUT'!L50</f>
        <v>94</v>
      </c>
      <c r="M9" s="134">
        <f>'📥 RAW DATA INPUT'!M50</f>
        <v>99</v>
      </c>
      <c r="N9" s="134">
        <f>'📥 RAW DATA INPUT'!N50</f>
        <v>98</v>
      </c>
      <c r="O9" s="72">
        <f t="shared" si="0"/>
        <v>1096</v>
      </c>
    </row>
    <row r="10" spans="2:15" ht="18" customHeight="1" x14ac:dyDescent="0.25">
      <c r="B10" s="142" t="s">
        <v>296</v>
      </c>
      <c r="C10" s="143">
        <f t="shared" ref="C10:N10" si="1">C5+C6-C7-C8-C9</f>
        <v>-102</v>
      </c>
      <c r="D10" s="143">
        <f t="shared" si="1"/>
        <v>-89</v>
      </c>
      <c r="E10" s="143">
        <f t="shared" si="1"/>
        <v>-88</v>
      </c>
      <c r="F10" s="143">
        <f t="shared" si="1"/>
        <v>-93</v>
      </c>
      <c r="G10" s="143">
        <f t="shared" si="1"/>
        <v>-104</v>
      </c>
      <c r="H10" s="143">
        <f t="shared" si="1"/>
        <v>-83</v>
      </c>
      <c r="I10" s="143">
        <f t="shared" si="1"/>
        <v>-81</v>
      </c>
      <c r="J10" s="143">
        <f t="shared" si="1"/>
        <v>-95</v>
      </c>
      <c r="K10" s="143">
        <f t="shared" si="1"/>
        <v>-90</v>
      </c>
      <c r="L10" s="143">
        <f t="shared" si="1"/>
        <v>-97</v>
      </c>
      <c r="M10" s="143">
        <f t="shared" si="1"/>
        <v>-102</v>
      </c>
      <c r="N10" s="143">
        <f t="shared" si="1"/>
        <v>-96</v>
      </c>
      <c r="O10" s="144">
        <f t="shared" si="0"/>
        <v>-1120</v>
      </c>
    </row>
    <row r="11" spans="2:15" ht="19.5" customHeight="1" x14ac:dyDescent="0.25">
      <c r="B11" s="50" t="s">
        <v>297</v>
      </c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7"/>
    </row>
    <row r="12" spans="2:15" ht="18" customHeight="1" x14ac:dyDescent="0.25">
      <c r="B12" s="138" t="s">
        <v>104</v>
      </c>
      <c r="C12" s="58">
        <f>'📥 RAW DATA INPUT'!C49</f>
        <v>95</v>
      </c>
      <c r="D12" s="58">
        <f>'📥 RAW DATA INPUT'!D49</f>
        <v>83</v>
      </c>
      <c r="E12" s="58">
        <f>'📥 RAW DATA INPUT'!E49</f>
        <v>97</v>
      </c>
      <c r="F12" s="58">
        <f>'📥 RAW DATA INPUT'!F49</f>
        <v>88</v>
      </c>
      <c r="G12" s="58">
        <f>'📥 RAW DATA INPUT'!G49</f>
        <v>96</v>
      </c>
      <c r="H12" s="58">
        <f>'📥 RAW DATA INPUT'!H49</f>
        <v>84</v>
      </c>
      <c r="I12" s="58">
        <f>'📥 RAW DATA INPUT'!I49</f>
        <v>80</v>
      </c>
      <c r="J12" s="58">
        <f>'📥 RAW DATA INPUT'!J49</f>
        <v>80</v>
      </c>
      <c r="K12" s="58">
        <f>'📥 RAW DATA INPUT'!K49</f>
        <v>81</v>
      </c>
      <c r="L12" s="58">
        <f>'📥 RAW DATA INPUT'!L49</f>
        <v>77</v>
      </c>
      <c r="M12" s="58">
        <f>'📥 RAW DATA INPUT'!M49</f>
        <v>92</v>
      </c>
      <c r="N12" s="58">
        <f>'📥 RAW DATA INPUT'!N49</f>
        <v>98</v>
      </c>
      <c r="O12" s="49">
        <f>SUM(C12:N12)</f>
        <v>1051</v>
      </c>
    </row>
    <row r="13" spans="2:15" ht="18" customHeight="1" x14ac:dyDescent="0.25">
      <c r="B13" s="138" t="s">
        <v>298</v>
      </c>
      <c r="C13" s="58">
        <f t="shared" ref="C13:N13" si="2">-C12</f>
        <v>-95</v>
      </c>
      <c r="D13" s="58">
        <f t="shared" si="2"/>
        <v>-83</v>
      </c>
      <c r="E13" s="58">
        <f t="shared" si="2"/>
        <v>-97</v>
      </c>
      <c r="F13" s="58">
        <f t="shared" si="2"/>
        <v>-88</v>
      </c>
      <c r="G13" s="58">
        <f t="shared" si="2"/>
        <v>-96</v>
      </c>
      <c r="H13" s="58">
        <f t="shared" si="2"/>
        <v>-84</v>
      </c>
      <c r="I13" s="58">
        <f t="shared" si="2"/>
        <v>-80</v>
      </c>
      <c r="J13" s="58">
        <f t="shared" si="2"/>
        <v>-80</v>
      </c>
      <c r="K13" s="58">
        <f t="shared" si="2"/>
        <v>-81</v>
      </c>
      <c r="L13" s="58">
        <f t="shared" si="2"/>
        <v>-77</v>
      </c>
      <c r="M13" s="58">
        <f t="shared" si="2"/>
        <v>-92</v>
      </c>
      <c r="N13" s="58">
        <f t="shared" si="2"/>
        <v>-98</v>
      </c>
      <c r="O13" s="49">
        <f>SUM(C13:N13)</f>
        <v>-1051</v>
      </c>
    </row>
    <row r="14" spans="2:15" ht="19.5" customHeight="1" x14ac:dyDescent="0.25">
      <c r="B14" s="42" t="s">
        <v>299</v>
      </c>
      <c r="C14" s="128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9"/>
    </row>
    <row r="15" spans="2:15" ht="18" customHeight="1" x14ac:dyDescent="0.25">
      <c r="B15" s="135" t="s">
        <v>300</v>
      </c>
      <c r="C15" s="52">
        <f>'📥 RAW DATA INPUT'!C51</f>
        <v>77</v>
      </c>
      <c r="D15" s="52">
        <f>'📥 RAW DATA INPUT'!D51</f>
        <v>94</v>
      </c>
      <c r="E15" s="52">
        <f>'📥 RAW DATA INPUT'!E51</f>
        <v>94</v>
      </c>
      <c r="F15" s="52">
        <f>'📥 RAW DATA INPUT'!F51</f>
        <v>87</v>
      </c>
      <c r="G15" s="52">
        <f>'📥 RAW DATA INPUT'!G51</f>
        <v>81</v>
      </c>
      <c r="H15" s="52">
        <f>'📥 RAW DATA INPUT'!H51</f>
        <v>97</v>
      </c>
      <c r="I15" s="52">
        <f>'📥 RAW DATA INPUT'!I51</f>
        <v>83</v>
      </c>
      <c r="J15" s="52">
        <f>'📥 RAW DATA INPUT'!J51</f>
        <v>91</v>
      </c>
      <c r="K15" s="52">
        <f>'📥 RAW DATA INPUT'!K51</f>
        <v>80</v>
      </c>
      <c r="L15" s="52">
        <f>'📥 RAW DATA INPUT'!L51</f>
        <v>98</v>
      </c>
      <c r="M15" s="52">
        <f>'📥 RAW DATA INPUT'!M51</f>
        <v>77</v>
      </c>
      <c r="N15" s="52">
        <f>'📥 RAW DATA INPUT'!N51</f>
        <v>97</v>
      </c>
      <c r="O15" s="40">
        <f>SUM(C15:N15)</f>
        <v>1056</v>
      </c>
    </row>
    <row r="16" spans="2:15" ht="18" customHeight="1" x14ac:dyDescent="0.25">
      <c r="B16" s="135" t="s">
        <v>103</v>
      </c>
      <c r="C16" s="52">
        <f>'📥 RAW DATA INPUT'!C48</f>
        <v>88</v>
      </c>
      <c r="D16" s="52">
        <f>'📥 RAW DATA INPUT'!D48</f>
        <v>85</v>
      </c>
      <c r="E16" s="52">
        <f>'📥 RAW DATA INPUT'!E48</f>
        <v>87</v>
      </c>
      <c r="F16" s="52">
        <f>'📥 RAW DATA INPUT'!F48</f>
        <v>92</v>
      </c>
      <c r="G16" s="52">
        <f>'📥 RAW DATA INPUT'!G48</f>
        <v>87</v>
      </c>
      <c r="H16" s="52">
        <f>'📥 RAW DATA INPUT'!H48</f>
        <v>98</v>
      </c>
      <c r="I16" s="52">
        <f>'📥 RAW DATA INPUT'!I48</f>
        <v>79</v>
      </c>
      <c r="J16" s="52">
        <f>'📥 RAW DATA INPUT'!J48</f>
        <v>89</v>
      </c>
      <c r="K16" s="52">
        <f>'📥 RAW DATA INPUT'!K48</f>
        <v>89</v>
      </c>
      <c r="L16" s="52">
        <f>'📥 RAW DATA INPUT'!L48</f>
        <v>81</v>
      </c>
      <c r="M16" s="52">
        <f>'📥 RAW DATA INPUT'!M48</f>
        <v>84</v>
      </c>
      <c r="N16" s="52">
        <f>'📥 RAW DATA INPUT'!N48</f>
        <v>95</v>
      </c>
      <c r="O16" s="40">
        <f>SUM(C16:N16)</f>
        <v>1054</v>
      </c>
    </row>
    <row r="17" spans="2:15" ht="18" customHeight="1" x14ac:dyDescent="0.25">
      <c r="B17" s="135" t="s">
        <v>301</v>
      </c>
      <c r="C17" s="52">
        <f t="shared" ref="C17:N17" si="3">C15-C16</f>
        <v>-11</v>
      </c>
      <c r="D17" s="52">
        <f t="shared" si="3"/>
        <v>9</v>
      </c>
      <c r="E17" s="52">
        <f t="shared" si="3"/>
        <v>7</v>
      </c>
      <c r="F17" s="52">
        <f t="shared" si="3"/>
        <v>-5</v>
      </c>
      <c r="G17" s="52">
        <f t="shared" si="3"/>
        <v>-6</v>
      </c>
      <c r="H17" s="52">
        <f t="shared" si="3"/>
        <v>-1</v>
      </c>
      <c r="I17" s="52">
        <f t="shared" si="3"/>
        <v>4</v>
      </c>
      <c r="J17" s="52">
        <f t="shared" si="3"/>
        <v>2</v>
      </c>
      <c r="K17" s="52">
        <f t="shared" si="3"/>
        <v>-9</v>
      </c>
      <c r="L17" s="52">
        <f t="shared" si="3"/>
        <v>17</v>
      </c>
      <c r="M17" s="52">
        <f t="shared" si="3"/>
        <v>-7</v>
      </c>
      <c r="N17" s="52">
        <f t="shared" si="3"/>
        <v>2</v>
      </c>
      <c r="O17" s="40">
        <f>SUM(C17:N17)</f>
        <v>2</v>
      </c>
    </row>
    <row r="18" spans="2:15" ht="18" customHeight="1" x14ac:dyDescent="0.25">
      <c r="B18" s="142" t="s">
        <v>302</v>
      </c>
      <c r="C18" s="143">
        <f t="shared" ref="C18:N18" si="4">C10+C13+C17</f>
        <v>-208</v>
      </c>
      <c r="D18" s="143">
        <f t="shared" si="4"/>
        <v>-163</v>
      </c>
      <c r="E18" s="143">
        <f t="shared" si="4"/>
        <v>-178</v>
      </c>
      <c r="F18" s="143">
        <f t="shared" si="4"/>
        <v>-186</v>
      </c>
      <c r="G18" s="143">
        <f t="shared" si="4"/>
        <v>-206</v>
      </c>
      <c r="H18" s="143">
        <f t="shared" si="4"/>
        <v>-168</v>
      </c>
      <c r="I18" s="143">
        <f t="shared" si="4"/>
        <v>-157</v>
      </c>
      <c r="J18" s="143">
        <f t="shared" si="4"/>
        <v>-173</v>
      </c>
      <c r="K18" s="143">
        <f t="shared" si="4"/>
        <v>-180</v>
      </c>
      <c r="L18" s="143">
        <f t="shared" si="4"/>
        <v>-157</v>
      </c>
      <c r="M18" s="143">
        <f t="shared" si="4"/>
        <v>-201</v>
      </c>
      <c r="N18" s="143">
        <f t="shared" si="4"/>
        <v>-192</v>
      </c>
      <c r="O18" s="144">
        <f>SUM(C18:N18)</f>
        <v>-2169</v>
      </c>
    </row>
    <row r="19" spans="2:15" ht="18" customHeight="1" x14ac:dyDescent="0.25">
      <c r="B19" s="147" t="s">
        <v>303</v>
      </c>
      <c r="C19" s="148">
        <f>'📥 RAW DATA INPUT'!C43</f>
        <v>90</v>
      </c>
      <c r="D19" s="148">
        <f>'📥 RAW DATA INPUT'!D43</f>
        <v>88</v>
      </c>
      <c r="E19" s="148">
        <f>'📥 RAW DATA INPUT'!E43</f>
        <v>91</v>
      </c>
      <c r="F19" s="148">
        <f>'📥 RAW DATA INPUT'!F43</f>
        <v>95</v>
      </c>
      <c r="G19" s="148">
        <f>'📥 RAW DATA INPUT'!G43</f>
        <v>92</v>
      </c>
      <c r="H19" s="148">
        <f>'📥 RAW DATA INPUT'!H43</f>
        <v>95</v>
      </c>
      <c r="I19" s="148">
        <f>'📥 RAW DATA INPUT'!I43</f>
        <v>95</v>
      </c>
      <c r="J19" s="148">
        <f>'📥 RAW DATA INPUT'!J43</f>
        <v>85</v>
      </c>
      <c r="K19" s="148">
        <f>'📥 RAW DATA INPUT'!K43</f>
        <v>87</v>
      </c>
      <c r="L19" s="148">
        <f>'📥 RAW DATA INPUT'!L43</f>
        <v>81</v>
      </c>
      <c r="M19" s="148">
        <f>'📥 RAW DATA INPUT'!M43</f>
        <v>84</v>
      </c>
      <c r="N19" s="148">
        <f>'📥 RAW DATA INPUT'!N43</f>
        <v>89</v>
      </c>
      <c r="O19" s="162"/>
    </row>
    <row r="20" spans="2:15" ht="18" customHeight="1" x14ac:dyDescent="0.25">
      <c r="B20" s="142" t="s">
        <v>108</v>
      </c>
      <c r="C20" s="143">
        <f t="shared" ref="C20:N20" si="5">C19+C18</f>
        <v>-118</v>
      </c>
      <c r="D20" s="143">
        <f t="shared" si="5"/>
        <v>-75</v>
      </c>
      <c r="E20" s="143">
        <f t="shared" si="5"/>
        <v>-87</v>
      </c>
      <c r="F20" s="143">
        <f t="shared" si="5"/>
        <v>-91</v>
      </c>
      <c r="G20" s="143">
        <f t="shared" si="5"/>
        <v>-114</v>
      </c>
      <c r="H20" s="143">
        <f t="shared" si="5"/>
        <v>-73</v>
      </c>
      <c r="I20" s="143">
        <f t="shared" si="5"/>
        <v>-62</v>
      </c>
      <c r="J20" s="143">
        <f t="shared" si="5"/>
        <v>-88</v>
      </c>
      <c r="K20" s="143">
        <f t="shared" si="5"/>
        <v>-93</v>
      </c>
      <c r="L20" s="143">
        <f t="shared" si="5"/>
        <v>-76</v>
      </c>
      <c r="M20" s="143">
        <f t="shared" si="5"/>
        <v>-117</v>
      </c>
      <c r="N20" s="143">
        <f t="shared" si="5"/>
        <v>-103</v>
      </c>
      <c r="O20" s="144">
        <f>SUM(C20:N20)</f>
        <v>-1097</v>
      </c>
    </row>
    <row r="21" spans="2:15" ht="18" customHeight="1" x14ac:dyDescent="0.25">
      <c r="B21" s="142" t="s">
        <v>304</v>
      </c>
      <c r="C21" s="143">
        <f t="shared" ref="C21:N21" si="6">IFERROR(C20/ABS(C10)*-1,"N/A")</f>
        <v>1.1568627450980393</v>
      </c>
      <c r="D21" s="143">
        <f t="shared" si="6"/>
        <v>0.84269662921348309</v>
      </c>
      <c r="E21" s="143">
        <f t="shared" si="6"/>
        <v>0.98863636363636365</v>
      </c>
      <c r="F21" s="143">
        <f t="shared" si="6"/>
        <v>0.978494623655914</v>
      </c>
      <c r="G21" s="143">
        <f t="shared" si="6"/>
        <v>1.0961538461538463</v>
      </c>
      <c r="H21" s="143">
        <f t="shared" si="6"/>
        <v>0.87951807228915657</v>
      </c>
      <c r="I21" s="143">
        <f t="shared" si="6"/>
        <v>0.76543209876543206</v>
      </c>
      <c r="J21" s="143">
        <f t="shared" si="6"/>
        <v>0.9263157894736842</v>
      </c>
      <c r="K21" s="143">
        <f t="shared" si="6"/>
        <v>1.0333333333333334</v>
      </c>
      <c r="L21" s="143">
        <f t="shared" si="6"/>
        <v>0.78350515463917525</v>
      </c>
      <c r="M21" s="143">
        <f t="shared" si="6"/>
        <v>1.1470588235294117</v>
      </c>
      <c r="N21" s="143">
        <f t="shared" si="6"/>
        <v>1.0729166666666667</v>
      </c>
      <c r="O21" s="163"/>
    </row>
  </sheetData>
  <mergeCells count="1">
    <mergeCell ref="B2:M2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7D3C98"/>
  </sheetPr>
  <dimension ref="B2:O12"/>
  <sheetViews>
    <sheetView showGridLines="0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2" sqref="B2:M2"/>
    </sheetView>
  </sheetViews>
  <sheetFormatPr defaultColWidth="8.7109375" defaultRowHeight="15" x14ac:dyDescent="0.25"/>
  <cols>
    <col min="1" max="1" width="2" style="3" customWidth="1"/>
    <col min="2" max="2" width="30" style="3" customWidth="1"/>
    <col min="3" max="14" width="13" style="3" customWidth="1"/>
    <col min="15" max="15" width="16" style="3" customWidth="1"/>
    <col min="16" max="16384" width="8.7109375" style="3"/>
  </cols>
  <sheetData>
    <row r="2" spans="2:15" ht="27.75" customHeight="1" x14ac:dyDescent="0.25">
      <c r="B2" s="320" t="s">
        <v>305</v>
      </c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</row>
    <row r="3" spans="2:15" ht="24" customHeight="1" x14ac:dyDescent="0.25">
      <c r="B3" s="26" t="s">
        <v>110</v>
      </c>
      <c r="C3" s="26" t="s">
        <v>62</v>
      </c>
      <c r="D3" s="26" t="s">
        <v>63</v>
      </c>
      <c r="E3" s="26" t="s">
        <v>64</v>
      </c>
      <c r="F3" s="26" t="s">
        <v>65</v>
      </c>
      <c r="G3" s="26" t="s">
        <v>66</v>
      </c>
      <c r="H3" s="26" t="s">
        <v>67</v>
      </c>
      <c r="I3" s="26" t="s">
        <v>68</v>
      </c>
      <c r="J3" s="26" t="s">
        <v>69</v>
      </c>
      <c r="K3" s="26" t="s">
        <v>70</v>
      </c>
      <c r="L3" s="26" t="s">
        <v>71</v>
      </c>
      <c r="M3" s="26" t="s">
        <v>72</v>
      </c>
      <c r="N3" s="26" t="s">
        <v>73</v>
      </c>
      <c r="O3" s="26" t="s">
        <v>306</v>
      </c>
    </row>
    <row r="4" spans="2:15" ht="18" customHeight="1" x14ac:dyDescent="0.25">
      <c r="B4" s="164" t="s">
        <v>248</v>
      </c>
      <c r="C4" s="165">
        <f>'📥 RAW DATA INPUT'!C58</f>
        <v>47</v>
      </c>
      <c r="D4" s="165">
        <f>'📥 RAW DATA INPUT'!D58</f>
        <v>62</v>
      </c>
      <c r="E4" s="165">
        <f>'📥 RAW DATA INPUT'!E58</f>
        <v>43</v>
      </c>
      <c r="F4" s="165">
        <f>'📥 RAW DATA INPUT'!F58</f>
        <v>44</v>
      </c>
      <c r="G4" s="165">
        <f>'📥 RAW DATA INPUT'!G58</f>
        <v>43</v>
      </c>
      <c r="H4" s="165">
        <f>'📥 RAW DATA INPUT'!H58</f>
        <v>58</v>
      </c>
      <c r="I4" s="165">
        <f>'📥 RAW DATA INPUT'!I58</f>
        <v>61</v>
      </c>
      <c r="J4" s="165">
        <f>'📥 RAW DATA INPUT'!J58</f>
        <v>54</v>
      </c>
      <c r="K4" s="165">
        <f>'📥 RAW DATA INPUT'!K58</f>
        <v>46</v>
      </c>
      <c r="L4" s="165">
        <f>'📥 RAW DATA INPUT'!L58</f>
        <v>39</v>
      </c>
      <c r="M4" s="165">
        <f>'📥 RAW DATA INPUT'!M58</f>
        <v>48</v>
      </c>
      <c r="N4" s="165">
        <f>'📥 RAW DATA INPUT'!N58</f>
        <v>45</v>
      </c>
      <c r="O4" s="166">
        <f t="shared" ref="O4:O12" si="0">AVERAGE(C4:N4)</f>
        <v>49.166666666666664</v>
      </c>
    </row>
    <row r="5" spans="2:15" ht="18" customHeight="1" x14ac:dyDescent="0.25">
      <c r="B5" s="167" t="s">
        <v>112</v>
      </c>
      <c r="C5" s="168">
        <f>'📥 RAW DATA INPUT'!C59</f>
        <v>36</v>
      </c>
      <c r="D5" s="168">
        <f>'📥 RAW DATA INPUT'!D59</f>
        <v>62</v>
      </c>
      <c r="E5" s="168">
        <f>'📥 RAW DATA INPUT'!E59</f>
        <v>36</v>
      </c>
      <c r="F5" s="168">
        <f>'📥 RAW DATA INPUT'!F59</f>
        <v>49</v>
      </c>
      <c r="G5" s="168">
        <f>'📥 RAW DATA INPUT'!G59</f>
        <v>43</v>
      </c>
      <c r="H5" s="168">
        <f>'📥 RAW DATA INPUT'!H59</f>
        <v>38</v>
      </c>
      <c r="I5" s="168">
        <f>'📥 RAW DATA INPUT'!I59</f>
        <v>37</v>
      </c>
      <c r="J5" s="168">
        <f>'📥 RAW DATA INPUT'!J59</f>
        <v>65</v>
      </c>
      <c r="K5" s="168">
        <f>'📥 RAW DATA INPUT'!K59</f>
        <v>55</v>
      </c>
      <c r="L5" s="168">
        <f>'📥 RAW DATA INPUT'!L59</f>
        <v>65</v>
      </c>
      <c r="M5" s="168">
        <f>'📥 RAW DATA INPUT'!M59</f>
        <v>53</v>
      </c>
      <c r="N5" s="168">
        <f>'📥 RAW DATA INPUT'!N59</f>
        <v>35</v>
      </c>
      <c r="O5" s="166">
        <f t="shared" si="0"/>
        <v>47.833333333333336</v>
      </c>
    </row>
    <row r="6" spans="2:15" ht="18" customHeight="1" x14ac:dyDescent="0.25">
      <c r="B6" s="164" t="s">
        <v>113</v>
      </c>
      <c r="C6" s="165">
        <f>'📥 RAW DATA INPUT'!C60</f>
        <v>37</v>
      </c>
      <c r="D6" s="165">
        <f>'📥 RAW DATA INPUT'!D60</f>
        <v>48</v>
      </c>
      <c r="E6" s="165">
        <f>'📥 RAW DATA INPUT'!E60</f>
        <v>56</v>
      </c>
      <c r="F6" s="165">
        <f>'📥 RAW DATA INPUT'!F60</f>
        <v>44</v>
      </c>
      <c r="G6" s="165">
        <f>'📥 RAW DATA INPUT'!G60</f>
        <v>53</v>
      </c>
      <c r="H6" s="165">
        <f>'📥 RAW DATA INPUT'!H60</f>
        <v>58</v>
      </c>
      <c r="I6" s="165">
        <f>'📥 RAW DATA INPUT'!I60</f>
        <v>59</v>
      </c>
      <c r="J6" s="165">
        <f>'📥 RAW DATA INPUT'!J60</f>
        <v>45</v>
      </c>
      <c r="K6" s="165">
        <f>'📥 RAW DATA INPUT'!K60</f>
        <v>42</v>
      </c>
      <c r="L6" s="165">
        <f>'📥 RAW DATA INPUT'!L60</f>
        <v>42</v>
      </c>
      <c r="M6" s="165">
        <f>'📥 RAW DATA INPUT'!M60</f>
        <v>44</v>
      </c>
      <c r="N6" s="165">
        <f>'📥 RAW DATA INPUT'!N60</f>
        <v>62</v>
      </c>
      <c r="O6" s="166">
        <f t="shared" si="0"/>
        <v>49.166666666666664</v>
      </c>
    </row>
    <row r="7" spans="2:15" ht="18" customHeight="1" x14ac:dyDescent="0.25">
      <c r="B7" s="167" t="s">
        <v>307</v>
      </c>
      <c r="C7" s="169">
        <v>0.03</v>
      </c>
      <c r="D7" s="169">
        <v>0.04</v>
      </c>
      <c r="E7" s="169">
        <v>0.05</v>
      </c>
      <c r="F7" s="169">
        <v>0.05</v>
      </c>
      <c r="G7" s="169">
        <v>0.08</v>
      </c>
      <c r="H7" s="169">
        <v>0.08</v>
      </c>
      <c r="I7" s="169">
        <v>0.09</v>
      </c>
      <c r="J7" s="169">
        <v>0.09</v>
      </c>
      <c r="K7" s="169">
        <v>0.05</v>
      </c>
      <c r="L7" s="169">
        <v>7.0000000000000007E-2</v>
      </c>
      <c r="M7" s="169">
        <v>0.08</v>
      </c>
      <c r="N7" s="169">
        <v>0.09</v>
      </c>
      <c r="O7" s="170">
        <f t="shared" si="0"/>
        <v>6.6666666666666666E-2</v>
      </c>
    </row>
    <row r="8" spans="2:15" ht="18" customHeight="1" x14ac:dyDescent="0.25">
      <c r="B8" s="164" t="s">
        <v>114</v>
      </c>
      <c r="C8" s="165">
        <f>'📥 RAW DATA INPUT'!C61</f>
        <v>45</v>
      </c>
      <c r="D8" s="165">
        <f>'📥 RAW DATA INPUT'!D61</f>
        <v>37</v>
      </c>
      <c r="E8" s="165">
        <f>'📥 RAW DATA INPUT'!E61</f>
        <v>60</v>
      </c>
      <c r="F8" s="165">
        <f>'📥 RAW DATA INPUT'!F61</f>
        <v>41</v>
      </c>
      <c r="G8" s="165">
        <f>'📥 RAW DATA INPUT'!G61</f>
        <v>41</v>
      </c>
      <c r="H8" s="165">
        <f>'📥 RAW DATA INPUT'!H61</f>
        <v>37</v>
      </c>
      <c r="I8" s="165">
        <f>'📥 RAW DATA INPUT'!I61</f>
        <v>53</v>
      </c>
      <c r="J8" s="165">
        <f>'📥 RAW DATA INPUT'!J61</f>
        <v>46</v>
      </c>
      <c r="K8" s="165">
        <f>'📥 RAW DATA INPUT'!K61</f>
        <v>59</v>
      </c>
      <c r="L8" s="165">
        <f>'📥 RAW DATA INPUT'!L61</f>
        <v>53</v>
      </c>
      <c r="M8" s="165">
        <f>'📥 RAW DATA INPUT'!M61</f>
        <v>65</v>
      </c>
      <c r="N8" s="165">
        <f>'📥 RAW DATA INPUT'!N61</f>
        <v>54</v>
      </c>
      <c r="O8" s="166">
        <f t="shared" si="0"/>
        <v>49.25</v>
      </c>
    </row>
    <row r="9" spans="2:15" ht="18" customHeight="1" x14ac:dyDescent="0.25">
      <c r="B9" s="167" t="s">
        <v>308</v>
      </c>
      <c r="C9" s="171">
        <f>'📥 RAW DATA INPUT'!C62</f>
        <v>60</v>
      </c>
      <c r="D9" s="171">
        <f>'📥 RAW DATA INPUT'!D62</f>
        <v>50</v>
      </c>
      <c r="E9" s="171">
        <f>'📥 RAW DATA INPUT'!E62</f>
        <v>65</v>
      </c>
      <c r="F9" s="171">
        <f>'📥 RAW DATA INPUT'!F62</f>
        <v>38</v>
      </c>
      <c r="G9" s="171">
        <f>'📥 RAW DATA INPUT'!G62</f>
        <v>35</v>
      </c>
      <c r="H9" s="171">
        <f>'📥 RAW DATA INPUT'!H62</f>
        <v>54</v>
      </c>
      <c r="I9" s="171">
        <f>'📥 RAW DATA INPUT'!I62</f>
        <v>61</v>
      </c>
      <c r="J9" s="171">
        <f>'📥 RAW DATA INPUT'!J62</f>
        <v>52</v>
      </c>
      <c r="K9" s="171">
        <f>'📥 RAW DATA INPUT'!K62</f>
        <v>60</v>
      </c>
      <c r="L9" s="171">
        <f>'📥 RAW DATA INPUT'!L62</f>
        <v>43</v>
      </c>
      <c r="M9" s="171">
        <f>'📥 RAW DATA INPUT'!M62</f>
        <v>38</v>
      </c>
      <c r="N9" s="171">
        <f>'📥 RAW DATA INPUT'!N62</f>
        <v>49</v>
      </c>
      <c r="O9" s="166">
        <f t="shared" si="0"/>
        <v>50.416666666666664</v>
      </c>
    </row>
    <row r="10" spans="2:15" ht="18" customHeight="1" x14ac:dyDescent="0.25">
      <c r="B10" s="164" t="s">
        <v>309</v>
      </c>
      <c r="C10" s="172">
        <f>IFERROR('📥 RAW DATA INPUT'!C23/'📥 RAW DATA INPUT'!C58,0)</f>
        <v>84.765957446808514</v>
      </c>
      <c r="D10" s="172">
        <f>IFERROR('📥 RAW DATA INPUT'!D23/'📥 RAW DATA INPUT'!D58,0)</f>
        <v>61.016129032258064</v>
      </c>
      <c r="E10" s="172">
        <f>IFERROR('📥 RAW DATA INPUT'!E23/'📥 RAW DATA INPUT'!E58,0)</f>
        <v>77.767441860465112</v>
      </c>
      <c r="F10" s="172">
        <f>IFERROR('📥 RAW DATA INPUT'!F23/'📥 RAW DATA INPUT'!F58,0)</f>
        <v>92.318181818181813</v>
      </c>
      <c r="G10" s="172">
        <f>IFERROR('📥 RAW DATA INPUT'!G23/'📥 RAW DATA INPUT'!G58,0)</f>
        <v>89.906976744186053</v>
      </c>
      <c r="H10" s="172">
        <f>IFERROR('📥 RAW DATA INPUT'!H23/'📥 RAW DATA INPUT'!H58,0)</f>
        <v>60.362068965517238</v>
      </c>
      <c r="I10" s="172">
        <f>IFERROR('📥 RAW DATA INPUT'!I23/'📥 RAW DATA INPUT'!I58,0)</f>
        <v>63.672131147540981</v>
      </c>
      <c r="J10" s="172">
        <f>IFERROR('📥 RAW DATA INPUT'!J23/'📥 RAW DATA INPUT'!J58,0)</f>
        <v>75.574074074074076</v>
      </c>
      <c r="K10" s="172">
        <f>IFERROR('📥 RAW DATA INPUT'!K23/'📥 RAW DATA INPUT'!K58,0)</f>
        <v>86.434782608695656</v>
      </c>
      <c r="L10" s="172">
        <f>IFERROR('📥 RAW DATA INPUT'!L23/'📥 RAW DATA INPUT'!L58,0)</f>
        <v>96.589743589743591</v>
      </c>
      <c r="M10" s="172">
        <f>IFERROR('📥 RAW DATA INPUT'!M23/'📥 RAW DATA INPUT'!M58,0)</f>
        <v>81.854166666666671</v>
      </c>
      <c r="N10" s="172">
        <f>IFERROR('📥 RAW DATA INPUT'!N23/'📥 RAW DATA INPUT'!N58,0)</f>
        <v>126.97777777777777</v>
      </c>
      <c r="O10" s="166">
        <f t="shared" si="0"/>
        <v>83.10328597765961</v>
      </c>
    </row>
    <row r="11" spans="2:15" ht="18" customHeight="1" x14ac:dyDescent="0.25">
      <c r="B11" s="167" t="s">
        <v>310</v>
      </c>
      <c r="C11" s="169">
        <f>IFERROR('📥 RAW DATA INPUT'!C62/'📥 RAW DATA INPUT'!C23,0)</f>
        <v>1.5060240963855422E-2</v>
      </c>
      <c r="D11" s="169">
        <f>IFERROR('📥 RAW DATA INPUT'!D62/'📥 RAW DATA INPUT'!D23,0)</f>
        <v>1.3217023526301877E-2</v>
      </c>
      <c r="E11" s="169">
        <f>IFERROR('📥 RAW DATA INPUT'!E62/'📥 RAW DATA INPUT'!E23,0)</f>
        <v>1.9437799043062202E-2</v>
      </c>
      <c r="F11" s="169">
        <f>IFERROR('📥 RAW DATA INPUT'!F62/'📥 RAW DATA INPUT'!F23,0)</f>
        <v>9.3549975381585423E-3</v>
      </c>
      <c r="G11" s="169">
        <f>IFERROR('📥 RAW DATA INPUT'!G62/'📥 RAW DATA INPUT'!G23,0)</f>
        <v>9.0532850491464052E-3</v>
      </c>
      <c r="H11" s="169">
        <f>IFERROR('📥 RAW DATA INPUT'!H62/'📥 RAW DATA INPUT'!H23,0)</f>
        <v>1.5424164524421594E-2</v>
      </c>
      <c r="I11" s="169">
        <f>IFERROR('📥 RAW DATA INPUT'!I62/'📥 RAW DATA INPUT'!I23,0)</f>
        <v>1.5705458290422244E-2</v>
      </c>
      <c r="J11" s="169">
        <f>IFERROR('📥 RAW DATA INPUT'!J62/'📥 RAW DATA INPUT'!J23,0)</f>
        <v>1.274197500612595E-2</v>
      </c>
      <c r="K11" s="169">
        <f>IFERROR('📥 RAW DATA INPUT'!K62/'📥 RAW DATA INPUT'!K23,0)</f>
        <v>1.5090543259557344E-2</v>
      </c>
      <c r="L11" s="169">
        <f>IFERROR('📥 RAW DATA INPUT'!L62/'📥 RAW DATA INPUT'!L23,0)</f>
        <v>1.1414919033713831E-2</v>
      </c>
      <c r="M11" s="169">
        <f>IFERROR('📥 RAW DATA INPUT'!M62/'📥 RAW DATA INPUT'!M23,0)</f>
        <v>9.6716721812165948E-3</v>
      </c>
      <c r="N11" s="169">
        <f>IFERROR('📥 RAW DATA INPUT'!N62/'📥 RAW DATA INPUT'!N23,0)</f>
        <v>8.5754287714385723E-3</v>
      </c>
      <c r="O11" s="170">
        <f t="shared" si="0"/>
        <v>1.2895625598951715E-2</v>
      </c>
    </row>
    <row r="12" spans="2:15" ht="18" customHeight="1" x14ac:dyDescent="0.25">
      <c r="B12" s="164" t="s">
        <v>311</v>
      </c>
      <c r="C12" s="165">
        <f>'📥 RAW DATA INPUT'!C63</f>
        <v>63</v>
      </c>
      <c r="D12" s="165">
        <f>'📥 RAW DATA INPUT'!D63</f>
        <v>58</v>
      </c>
      <c r="E12" s="165">
        <f>'📥 RAW DATA INPUT'!E63</f>
        <v>42</v>
      </c>
      <c r="F12" s="165">
        <f>'📥 RAW DATA INPUT'!F63</f>
        <v>41</v>
      </c>
      <c r="G12" s="165">
        <f>'📥 RAW DATA INPUT'!G63</f>
        <v>61</v>
      </c>
      <c r="H12" s="165">
        <f>'📥 RAW DATA INPUT'!H63</f>
        <v>57</v>
      </c>
      <c r="I12" s="165">
        <f>'📥 RAW DATA INPUT'!I63</f>
        <v>60</v>
      </c>
      <c r="J12" s="165">
        <f>'📥 RAW DATA INPUT'!J63</f>
        <v>54</v>
      </c>
      <c r="K12" s="165">
        <f>'📥 RAW DATA INPUT'!K63</f>
        <v>40</v>
      </c>
      <c r="L12" s="165">
        <f>'📥 RAW DATA INPUT'!L63</f>
        <v>49</v>
      </c>
      <c r="M12" s="165">
        <f>'📥 RAW DATA INPUT'!M63</f>
        <v>36</v>
      </c>
      <c r="N12" s="165">
        <f>'📥 RAW DATA INPUT'!N63</f>
        <v>59</v>
      </c>
      <c r="O12" s="166">
        <f t="shared" si="0"/>
        <v>51.666666666666664</v>
      </c>
    </row>
  </sheetData>
  <mergeCells count="1">
    <mergeCell ref="B2:M2"/>
  </mergeCells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117A65"/>
    <pageSetUpPr fitToPage="1"/>
  </sheetPr>
  <dimension ref="A2:K48"/>
  <sheetViews>
    <sheetView showGridLines="0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defaultColWidth="8.7109375" defaultRowHeight="15" x14ac:dyDescent="0.25"/>
  <cols>
    <col min="1" max="1" width="2" style="3" customWidth="1"/>
    <col min="2" max="2" width="34" style="3" customWidth="1"/>
    <col min="3" max="5" width="16" style="3" customWidth="1"/>
    <col min="6" max="6" width="12" style="3" customWidth="1"/>
    <col min="7" max="7" width="14" style="3" customWidth="1"/>
    <col min="8" max="8" width="40" style="3" customWidth="1"/>
    <col min="9" max="16384" width="8.7109375" style="3"/>
  </cols>
  <sheetData>
    <row r="2" spans="1:11" ht="30" customHeight="1" x14ac:dyDescent="0.25">
      <c r="A2" s="173"/>
      <c r="B2" s="307" t="s">
        <v>620</v>
      </c>
      <c r="C2" s="307"/>
      <c r="D2" s="307"/>
      <c r="E2" s="307"/>
      <c r="F2" s="307"/>
      <c r="G2" s="307"/>
      <c r="H2" s="307"/>
      <c r="I2" s="173"/>
      <c r="J2" s="173"/>
      <c r="K2" s="173"/>
    </row>
    <row r="3" spans="1:11" ht="25.5" customHeight="1" x14ac:dyDescent="0.25">
      <c r="A3" s="173"/>
      <c r="B3" s="5" t="s">
        <v>312</v>
      </c>
      <c r="C3" s="5" t="s">
        <v>313</v>
      </c>
      <c r="D3" s="5" t="s">
        <v>314</v>
      </c>
      <c r="E3" s="5" t="s">
        <v>315</v>
      </c>
      <c r="F3" s="5" t="s">
        <v>316</v>
      </c>
      <c r="G3" s="5" t="s">
        <v>317</v>
      </c>
      <c r="H3" s="5" t="s">
        <v>318</v>
      </c>
      <c r="I3" s="173"/>
      <c r="J3" s="173"/>
      <c r="K3" s="173"/>
    </row>
    <row r="4" spans="1:11" ht="25.5" customHeight="1" x14ac:dyDescent="0.25">
      <c r="A4" s="173"/>
      <c r="B4" s="321" t="s">
        <v>319</v>
      </c>
      <c r="C4" s="321"/>
      <c r="D4" s="321"/>
      <c r="E4" s="321"/>
      <c r="F4" s="321"/>
      <c r="G4" s="321"/>
      <c r="H4" s="321"/>
      <c r="I4" s="173"/>
      <c r="J4" s="173"/>
      <c r="K4" s="173"/>
    </row>
    <row r="5" spans="1:11" ht="25.5" customHeight="1" x14ac:dyDescent="0.25">
      <c r="A5" s="173"/>
      <c r="B5" s="38" t="s">
        <v>176</v>
      </c>
      <c r="C5" s="154">
        <f>IFERROR(INDEX('📥 RAW DATA INPUT'!$C$23:$N$23,1,'📋 BUDGET'!$Q$5),"-")</f>
        <v>5714</v>
      </c>
      <c r="D5" s="154">
        <f>IFERROR(INDEX('📥 RAW DATA INPUT'!$C$23:$N$23,1,MAX('📋 BUDGET'!$Q$5-1,1)),"-")</f>
        <v>3929</v>
      </c>
      <c r="E5" s="174">
        <f>IFERROR(INDEX('📋 BUDGET'!$P$58:$P$85,MATCH("REV",'📋 BUDGET'!$A$58:$A$85,0)),0)</f>
        <v>473</v>
      </c>
      <c r="F5" s="175">
        <f>IFERROR((C5-E5)/ABS(E5),"-")</f>
        <v>11.080338266384778</v>
      </c>
      <c r="G5" s="176" t="str">
        <f>IF(F5="-","—",IF(F5&gt;=0,"✅ On Track",IF(F5&gt;=-0.1,"⚠ Near Target","🔴 Off Track")))</f>
        <v>✅ On Track</v>
      </c>
      <c r="H5" s="147" t="s">
        <v>320</v>
      </c>
      <c r="I5" s="173"/>
      <c r="J5" s="173"/>
      <c r="K5" s="173"/>
    </row>
    <row r="6" spans="1:11" ht="25.5" customHeight="1" x14ac:dyDescent="0.25">
      <c r="A6" s="173"/>
      <c r="B6" s="38" t="s">
        <v>179</v>
      </c>
      <c r="C6" s="177">
        <f>IFERROR(('📥 RAW DATA INPUT'!N23-'📥 RAW DATA INPUT'!M23)/'📥 RAW DATA INPUT'!M23,"-")</f>
        <v>0.45431407482820058</v>
      </c>
      <c r="D6" s="177">
        <f>IFERROR(('📥 RAW DATA INPUT'!M23-'📥 RAW DATA INPUT'!L23)/'📥 RAW DATA INPUT'!L23,"-")</f>
        <v>4.3005043801433503E-2</v>
      </c>
      <c r="E6" s="178">
        <f>IFERROR(INDEX('📋 BUDGET'!$P$58:$P$85,MATCH("REV_GR",'📋 BUDGET'!$A$58:$A$85,0)),0)</f>
        <v>6.2921348314606745E-2</v>
      </c>
      <c r="F6" s="175">
        <f>IFERROR((C6-E6)/ABS(E6),"-")</f>
        <v>6.2203486892339015</v>
      </c>
      <c r="G6" s="176" t="str">
        <f>IF(F6="-","—",IF(F6&gt;=0,"✅ On Track",IF(F6&gt;=-0.1,"⚠ Near Target","🔴 Off Track")))</f>
        <v>✅ On Track</v>
      </c>
      <c r="H6" s="147" t="s">
        <v>321</v>
      </c>
      <c r="I6" s="173"/>
      <c r="J6" s="173"/>
      <c r="K6" s="173"/>
    </row>
    <row r="7" spans="1:11" ht="25.5" customHeight="1" x14ac:dyDescent="0.25">
      <c r="A7" s="173"/>
      <c r="B7" s="38" t="s">
        <v>182</v>
      </c>
      <c r="C7" s="177">
        <f>IFERROR(INDEX('💰 P&amp;L SUMMARY'!$C$9:$N$9,1,'📋 BUDGET'!$Q$5),"-")</f>
        <v>0.98739936996849842</v>
      </c>
      <c r="D7" s="177">
        <f>IFERROR(INDEX('💰 P&amp;L SUMMARY'!$C$9:$N$9,1,MAX('📋 BUDGET'!$Q$5-1,1)),"-")</f>
        <v>0.98142020870450497</v>
      </c>
      <c r="E7" s="178">
        <f>IFERROR(INDEX('📋 BUDGET'!$P$58:$P$85,MATCH("GPM",'📋 BUDGET'!$A$58:$A$85,0)),0)</f>
        <v>0.84778012684989434</v>
      </c>
      <c r="F7" s="175">
        <f>IFERROR((C7-E7)/ABS(E7),"-")</f>
        <v>0.16468803490049808</v>
      </c>
      <c r="G7" s="176" t="str">
        <f>IF(F7="-","—",IF(F7&gt;=0,"✅ On Track",IF(F7&gt;=-0.1,"⚠ Near Target","🔴 Off Track")))</f>
        <v>✅ On Track</v>
      </c>
      <c r="H7" s="147" t="s">
        <v>322</v>
      </c>
      <c r="I7" s="173"/>
      <c r="J7" s="173"/>
      <c r="K7" s="173"/>
    </row>
    <row r="8" spans="1:11" ht="25.5" customHeight="1" x14ac:dyDescent="0.25">
      <c r="A8" s="173"/>
      <c r="B8" s="322" t="s">
        <v>323</v>
      </c>
      <c r="C8" s="322"/>
      <c r="D8" s="322"/>
      <c r="E8" s="322"/>
      <c r="F8" s="322"/>
      <c r="G8" s="322"/>
      <c r="H8" s="322"/>
      <c r="I8" s="173"/>
      <c r="J8" s="173"/>
      <c r="K8" s="173"/>
    </row>
    <row r="9" spans="1:11" ht="25.5" customHeight="1" x14ac:dyDescent="0.25">
      <c r="A9" s="173"/>
      <c r="B9" s="87" t="s">
        <v>185</v>
      </c>
      <c r="C9" s="179">
        <f>IFERROR(INDEX('💰 P&amp;L SUMMARY'!$C$17:$N$17,1,'📋 BUDGET'!$Q$5),"-")</f>
        <v>5256</v>
      </c>
      <c r="D9" s="179">
        <f>IFERROR(INDEX('💰 P&amp;L SUMMARY'!$C$17:$N$17,1,MAX('📋 BUDGET'!$Q$5-1,1)),"-")</f>
        <v>3506</v>
      </c>
      <c r="E9" s="180">
        <f>IFERROR(INDEX('📋 BUDGET'!$P$58:$P$85,MATCH("EBITDA",'📋 BUDGET'!$A$58:$A$85,0)),0)</f>
        <v>-56</v>
      </c>
      <c r="F9" s="181">
        <f>IFERROR((C9-E9)/ABS(E9),"-")</f>
        <v>94.857142857142861</v>
      </c>
      <c r="G9" s="182" t="str">
        <f>IF(F9="-","—",IF(F9&gt;=0,"✅ On Track",IF(F9&gt;=-0.1,"⚠ Near Target","🔴 Off Track")))</f>
        <v>✅ On Track</v>
      </c>
      <c r="H9" s="147" t="s">
        <v>324</v>
      </c>
      <c r="I9" s="173"/>
      <c r="J9" s="173"/>
      <c r="K9" s="173"/>
    </row>
    <row r="10" spans="1:11" ht="25.5" customHeight="1" x14ac:dyDescent="0.25">
      <c r="A10" s="173"/>
      <c r="B10" s="87" t="s">
        <v>188</v>
      </c>
      <c r="C10" s="183">
        <f>IFERROR(INDEX('💰 P&amp;L SUMMARY'!$C$18:$N$18,1,'📋 BUDGET'!$Q$5),"-")</f>
        <v>0.91984599229961495</v>
      </c>
      <c r="D10" s="183">
        <f>IFERROR(INDEX('💰 P&amp;L SUMMARY'!$C$18:$N$18,1,MAX('📋 BUDGET'!$Q$5-1,1)),"-")</f>
        <v>0.89233901756172052</v>
      </c>
      <c r="E10" s="184">
        <f>IFERROR(INDEX('📋 BUDGET'!$P$58:$P$85,MATCH("EBITDAM",'📋 BUDGET'!$A$58:$A$85,0)),0)</f>
        <v>-0.11839323467230443</v>
      </c>
      <c r="F10" s="181">
        <f>IFERROR((C10-E10)/ABS(E10),"-")</f>
        <v>8.7694134706735341</v>
      </c>
      <c r="G10" s="182" t="str">
        <f>IF(F10="-","—",IF(F10&gt;=0,"✅ On Track",IF(F10&gt;=-0.1,"⚠ Near Target","🔴 Off Track")))</f>
        <v>✅ On Track</v>
      </c>
      <c r="H10" s="147" t="s">
        <v>325</v>
      </c>
      <c r="I10" s="173"/>
      <c r="J10" s="173"/>
      <c r="K10" s="173"/>
    </row>
    <row r="11" spans="1:11" ht="25.5" customHeight="1" x14ac:dyDescent="0.25">
      <c r="A11" s="173"/>
      <c r="B11" s="87" t="s">
        <v>191</v>
      </c>
      <c r="C11" s="183">
        <f>IFERROR(INDEX('💰 P&amp;L SUMMARY'!$C$25:$N$25,1,'📋 BUDGET'!$Q$5),"-")</f>
        <v>0.67190234511725588</v>
      </c>
      <c r="D11" s="183">
        <f>IFERROR(INDEX('💰 P&amp;L SUMMARY'!$C$25:$N$25,1,MAX('📋 BUDGET'!$Q$5-1,1)),"-")</f>
        <v>0.64272079409518956</v>
      </c>
      <c r="E11" s="184">
        <f>IFERROR(INDEX('📋 BUDGET'!$P$58:$P$85,MATCH("NPM",'📋 BUDGET'!$A$58:$A$85,0)),0)</f>
        <v>-0.21564482029598309</v>
      </c>
      <c r="F11" s="181">
        <f>IFERROR((C11-E11)/ABS(E11),"-")</f>
        <v>4.1157824435339414</v>
      </c>
      <c r="G11" s="182" t="str">
        <f>IF(F11="-","—",IF(F11&gt;=0,"✅ On Track",IF(F11&gt;=-0.1,"⚠ Near Target","🔴 Off Track")))</f>
        <v>✅ On Track</v>
      </c>
      <c r="H11" s="147" t="s">
        <v>326</v>
      </c>
      <c r="I11" s="173"/>
      <c r="J11" s="173"/>
      <c r="K11" s="173"/>
    </row>
    <row r="12" spans="1:11" ht="25.5" customHeight="1" x14ac:dyDescent="0.25">
      <c r="A12" s="173"/>
      <c r="B12" s="70" t="s">
        <v>194</v>
      </c>
      <c r="C12" s="185">
        <f>IFERROR(INDEX('💰 P&amp;L SUMMARY'!$C$31:$N$31,1,'📋 BUDGET'!$Q$5),"-")</f>
        <v>6.7553377668883446E-2</v>
      </c>
      <c r="D12" s="185">
        <f>IFERROR(INDEX('💰 P&amp;L SUMMARY'!$C$31:$N$31,1,MAX('📋 BUDGET'!$Q$5-1,1)),"-")</f>
        <v>8.9081191142784427E-2</v>
      </c>
      <c r="E12" s="186">
        <f>IFERROR(INDEX('📋 BUDGET'!$P$58:$P$85,MATCH("OPEX_R",'📋 BUDGET'!$A$58:$A$85,0)),0)</f>
        <v>0.96617336152219868</v>
      </c>
      <c r="F12" s="187">
        <f>IFERROR((C12-E12)/ABS(E12),"-")</f>
        <v>-0.9300815150166698</v>
      </c>
      <c r="G12" s="188" t="str">
        <f>IF(F12="-","—",IF(F12&gt;=0,"✅ On Track",IF(F12&gt;=-0.1,"⚠ Near Target","🔴 Off Track")))</f>
        <v>🔴 Off Track</v>
      </c>
      <c r="H12" s="147" t="s">
        <v>327</v>
      </c>
      <c r="I12" s="173"/>
      <c r="J12" s="173"/>
      <c r="K12" s="173"/>
    </row>
    <row r="13" spans="1:11" ht="25.5" customHeight="1" x14ac:dyDescent="0.25">
      <c r="A13" s="173"/>
      <c r="B13" s="322" t="s">
        <v>328</v>
      </c>
      <c r="C13" s="322"/>
      <c r="D13" s="322"/>
      <c r="E13" s="322"/>
      <c r="F13" s="322"/>
      <c r="G13" s="322"/>
      <c r="H13" s="322"/>
      <c r="I13" s="173"/>
      <c r="J13" s="173"/>
      <c r="K13" s="173"/>
    </row>
    <row r="14" spans="1:11" ht="25.5" customHeight="1" x14ac:dyDescent="0.25">
      <c r="A14" s="173"/>
      <c r="B14" s="47" t="s">
        <v>197</v>
      </c>
      <c r="C14" s="152">
        <f>IFERROR(INDEX('💰 P&amp;L SUMMARY'!$C$27:$N$27,1,'📋 BUDGET'!$Q$5),"-")</f>
        <v>-96</v>
      </c>
      <c r="D14" s="152">
        <f>IFERROR(INDEX('💰 P&amp;L SUMMARY'!$C$27:$N$27,1,MAX('📋 BUDGET'!$Q$5-1,1)),"-")</f>
        <v>-102</v>
      </c>
      <c r="E14" s="189">
        <f>IFERROR(INDEX('📋 BUDGET'!$P$58:$P$85,MATCH("OCF",'📋 BUDGET'!$A$58:$A$85,0)),0)</f>
        <v>-48</v>
      </c>
      <c r="F14" s="190">
        <f t="shared" ref="F14:F19" si="0">IFERROR((C14-E14)/ABS(E14),"-")</f>
        <v>-1</v>
      </c>
      <c r="G14" s="191" t="str">
        <f t="shared" ref="G14:G19" si="1">IF(F14="-","—",IF(F14&gt;=0,"✅ On Track",IF(F14&gt;=-0.1,"⚠ Near Target","🔴 Off Track")))</f>
        <v>🔴 Off Track</v>
      </c>
      <c r="H14" s="147" t="s">
        <v>329</v>
      </c>
      <c r="I14" s="173"/>
      <c r="J14" s="173"/>
      <c r="K14" s="173"/>
    </row>
    <row r="15" spans="1:11" ht="25.5" customHeight="1" x14ac:dyDescent="0.25">
      <c r="A15" s="173"/>
      <c r="B15" s="47" t="s">
        <v>200</v>
      </c>
      <c r="C15" s="152">
        <f>IFERROR(INDEX('💰 P&amp;L SUMMARY'!$C$28:$N$28,1,'📋 BUDGET'!$Q$5),"-")</f>
        <v>-194</v>
      </c>
      <c r="D15" s="152">
        <f>IFERROR(INDEX('💰 P&amp;L SUMMARY'!$C$28:$N$28,1,MAX('📋 BUDGET'!$Q$5-1,1)),"-")</f>
        <v>-194</v>
      </c>
      <c r="E15" s="189">
        <f>IFERROR(INDEX('📋 BUDGET'!$P$58:$P$85,MATCH("FCF",'📋 BUDGET'!$A$58:$A$85,0)),0)</f>
        <v>-85</v>
      </c>
      <c r="F15" s="190">
        <f t="shared" si="0"/>
        <v>-1.2823529411764707</v>
      </c>
      <c r="G15" s="191" t="str">
        <f t="shared" si="1"/>
        <v>🔴 Off Track</v>
      </c>
      <c r="H15" s="147" t="s">
        <v>330</v>
      </c>
      <c r="I15" s="173"/>
      <c r="J15" s="173"/>
      <c r="K15" s="173"/>
    </row>
    <row r="16" spans="1:11" ht="25.5" customHeight="1" x14ac:dyDescent="0.25">
      <c r="A16" s="173"/>
      <c r="B16" s="87" t="s">
        <v>203</v>
      </c>
      <c r="C16" s="183">
        <f>IFERROR(INDEX('💰 P&amp;L SUMMARY'!$C$29:$N$29,1,'📋 BUDGET'!$Q$5),"-")</f>
        <v>-1.8264840182648401E-2</v>
      </c>
      <c r="D16" s="183">
        <f>IFERROR(INDEX('💰 P&amp;L SUMMARY'!$C$29:$N$29,1,MAX('📋 BUDGET'!$Q$5-1,1)),"-")</f>
        <v>-2.9092983456930975E-2</v>
      </c>
      <c r="E16" s="184">
        <f>IFERROR(INDEX('📋 BUDGET'!$P$58:$P$85,MATCH("EBITDA_CONV",'📋 BUDGET'!$A$58:$A$85,0)),0)</f>
        <v>0.8571428571428571</v>
      </c>
      <c r="F16" s="181">
        <f t="shared" si="0"/>
        <v>-1.0213089802130899</v>
      </c>
      <c r="G16" s="182" t="str">
        <f t="shared" si="1"/>
        <v>🔴 Off Track</v>
      </c>
      <c r="H16" s="147" t="s">
        <v>331</v>
      </c>
      <c r="I16" s="173"/>
      <c r="J16" s="173"/>
      <c r="K16" s="173"/>
    </row>
    <row r="17" spans="1:11" ht="25.5" customHeight="1" x14ac:dyDescent="0.25">
      <c r="A17" s="173"/>
      <c r="B17" s="38" t="s">
        <v>206</v>
      </c>
      <c r="C17" s="177">
        <f>IFERROR(INDEX('💰 P&amp;L SUMMARY'!$C$30:$N$30,1,'📋 BUDGET'!$Q$5),"-")</f>
        <v>1.3650682534126707E-2</v>
      </c>
      <c r="D17" s="177">
        <f>IFERROR(INDEX('💰 P&amp;L SUMMARY'!$C$30:$N$30,1,MAX('📋 BUDGET'!$Q$5-1,1)),"-")</f>
        <v>2.2906592008144565E-2</v>
      </c>
      <c r="E17" s="178">
        <f>IFERROR(INDEX('📋 BUDGET'!$P$58:$P$85,MATCH("COLL_EFF",'📋 BUDGET'!$A$58:$A$85,0)),0)</f>
        <v>9.5137420718816063E-2</v>
      </c>
      <c r="F17" s="175">
        <f t="shared" si="0"/>
        <v>-0.85651615914129031</v>
      </c>
      <c r="G17" s="176" t="str">
        <f t="shared" si="1"/>
        <v>🔴 Off Track</v>
      </c>
      <c r="H17" s="147" t="s">
        <v>332</v>
      </c>
      <c r="I17" s="173"/>
      <c r="J17" s="173"/>
      <c r="K17" s="173"/>
    </row>
    <row r="18" spans="1:11" ht="25.5" customHeight="1" x14ac:dyDescent="0.25">
      <c r="A18" s="173"/>
      <c r="B18" s="92" t="s">
        <v>209</v>
      </c>
      <c r="C18" s="192">
        <f>IFERROR(INDEX('🏦 CASH FLOW'!$C$21:$N$21,1,'📋 BUDGET'!$Q$5),"-")</f>
        <v>1.0729166666666667</v>
      </c>
      <c r="D18" s="192">
        <f>IFERROR(INDEX('🏦 CASH FLOW'!$C$21:$N$21,1,MAX('📋 BUDGET'!$Q$5-1,1)),"-")</f>
        <v>1.1470588235294117</v>
      </c>
      <c r="E18" s="193">
        <f>IFERROR(INDEX('📋 BUDGET'!$P$58:$P$85,MATCH("RUNWAY",'📋 BUDGET'!$A$58:$A$85,0)),0)</f>
        <v>12</v>
      </c>
      <c r="F18" s="194">
        <f t="shared" si="0"/>
        <v>-0.91059027777777779</v>
      </c>
      <c r="G18" s="195" t="str">
        <f t="shared" si="1"/>
        <v>🔴 Off Track</v>
      </c>
      <c r="H18" s="147" t="s">
        <v>333</v>
      </c>
      <c r="I18" s="173"/>
      <c r="J18" s="173"/>
      <c r="K18" s="173"/>
    </row>
    <row r="19" spans="1:11" ht="25.5" customHeight="1" x14ac:dyDescent="0.25">
      <c r="A19" s="173"/>
      <c r="B19" s="47" t="s">
        <v>212</v>
      </c>
      <c r="C19" s="152">
        <f>IFERROR(INDEX('🏦 CASH FLOW'!$C$20:$N$20,1,'📋 BUDGET'!$Q$5),"-")</f>
        <v>-103</v>
      </c>
      <c r="D19" s="152">
        <f>IFERROR(INDEX('🏦 CASH FLOW'!$C$20:$N$20,1,MAX('📋 BUDGET'!$Q$5-1,1)),"-")</f>
        <v>-117</v>
      </c>
      <c r="E19" s="189">
        <f>IFERROR(INDEX('📋 BUDGET'!$P$58:$P$85,MATCH("CASH",'📋 BUDGET'!$A$58:$A$85,0)),0)</f>
        <v>2000</v>
      </c>
      <c r="F19" s="190">
        <f t="shared" si="0"/>
        <v>-1.0515000000000001</v>
      </c>
      <c r="G19" s="191" t="str">
        <f t="shared" si="1"/>
        <v>🔴 Off Track</v>
      </c>
      <c r="H19" s="147" t="s">
        <v>334</v>
      </c>
      <c r="I19" s="173"/>
      <c r="J19" s="173"/>
      <c r="K19" s="173"/>
    </row>
    <row r="20" spans="1:11" ht="25.5" customHeight="1" x14ac:dyDescent="0.25">
      <c r="A20" s="173"/>
      <c r="B20" s="322" t="s">
        <v>335</v>
      </c>
      <c r="C20" s="322"/>
      <c r="D20" s="322"/>
      <c r="E20" s="322"/>
      <c r="F20" s="322"/>
      <c r="G20" s="322"/>
      <c r="H20" s="322"/>
      <c r="I20" s="173"/>
      <c r="J20" s="173"/>
      <c r="K20" s="173"/>
    </row>
    <row r="21" spans="1:11" ht="25.5" customHeight="1" x14ac:dyDescent="0.25">
      <c r="A21" s="173"/>
      <c r="B21" s="87" t="s">
        <v>215</v>
      </c>
      <c r="C21" s="196">
        <f>IFERROR(INDEX('🔄 WORKING CAPITAL'!$C$22:$N$22,1,'📋 BUDGET'!$Q$5),"-")</f>
        <v>0.42527126356317813</v>
      </c>
      <c r="D21" s="196">
        <f>IFERROR(INDEX('🔄 WORKING CAPITAL'!$C$22:$N$22,1,MAX('📋 BUDGET'!$Q$5-1,1)),"-")</f>
        <v>0.58030033087299571</v>
      </c>
      <c r="E21" s="197">
        <f>IFERROR(INDEX('📋 BUDGET'!$P$58:$P$85,MATCH("DSO",'📋 BUDGET'!$A$58:$A$85,0)),0)</f>
        <v>30</v>
      </c>
      <c r="F21" s="181">
        <f t="shared" ref="F21:F26" si="2">IFERROR((C21-E21)/ABS(E21),"-")</f>
        <v>-0.98582429121456072</v>
      </c>
      <c r="G21" s="182" t="str">
        <f t="shared" ref="G21:G26" si="3">IF(F21="-","—",IF(F21&gt;=0,"✅ On Track",IF(F21&gt;=-0.1,"⚠ Near Target","🔴 Off Track")))</f>
        <v>🔴 Off Track</v>
      </c>
      <c r="H21" s="147" t="s">
        <v>336</v>
      </c>
      <c r="I21" s="173"/>
      <c r="J21" s="173"/>
      <c r="K21" s="173"/>
    </row>
    <row r="22" spans="1:11" ht="25.5" customHeight="1" x14ac:dyDescent="0.25">
      <c r="A22" s="173"/>
      <c r="B22" s="70" t="s">
        <v>218</v>
      </c>
      <c r="C22" s="198">
        <f>IFERROR(INDEX('🔄 WORKING CAPITAL'!$C$23:$N$23,1,'📋 BUDGET'!$Q$5),"-")</f>
        <v>26.666666666666664</v>
      </c>
      <c r="D22" s="198">
        <f>IFERROR(INDEX('🔄 WORKING CAPITAL'!$C$23:$N$23,1,MAX('📋 BUDGET'!$Q$5-1,1)),"-")</f>
        <v>27.945205479452053</v>
      </c>
      <c r="E22" s="199">
        <f>IFERROR(INDEX('📋 BUDGET'!$P$58:$P$85,MATCH("DPO",'📋 BUDGET'!$A$58:$A$85,0)),0)</f>
        <v>35</v>
      </c>
      <c r="F22" s="187">
        <f t="shared" si="2"/>
        <v>-0.23809523809523817</v>
      </c>
      <c r="G22" s="188" t="str">
        <f t="shared" si="3"/>
        <v>🔴 Off Track</v>
      </c>
      <c r="H22" s="147" t="s">
        <v>337</v>
      </c>
      <c r="I22" s="173"/>
      <c r="J22" s="173"/>
      <c r="K22" s="173"/>
    </row>
    <row r="23" spans="1:11" ht="25.5" customHeight="1" x14ac:dyDescent="0.25">
      <c r="A23" s="173"/>
      <c r="B23" s="38" t="s">
        <v>221</v>
      </c>
      <c r="C23" s="200">
        <f>IFERROR(INDEX('🔄 WORKING CAPITAL'!$C$24:$N$24,1,'📋 BUDGET'!$Q$5),"-")</f>
        <v>33.333333333333336</v>
      </c>
      <c r="D23" s="200">
        <f>IFERROR(INDEX('🔄 WORKING CAPITAL'!$C$24:$N$24,1,MAX('📋 BUDGET'!$Q$5-1,1)),"-")</f>
        <v>27.123287671232877</v>
      </c>
      <c r="E23" s="201">
        <f>IFERROR(INDEX('📋 BUDGET'!$P$58:$P$85,MATCH("DIO",'📋 BUDGET'!$A$58:$A$85,0)),0)</f>
        <v>25</v>
      </c>
      <c r="F23" s="175">
        <f t="shared" si="2"/>
        <v>0.33333333333333343</v>
      </c>
      <c r="G23" s="176" t="str">
        <f t="shared" si="3"/>
        <v>✅ On Track</v>
      </c>
      <c r="H23" s="147" t="s">
        <v>338</v>
      </c>
      <c r="I23" s="173"/>
      <c r="J23" s="173"/>
      <c r="K23" s="173"/>
    </row>
    <row r="24" spans="1:11" ht="25.5" customHeight="1" x14ac:dyDescent="0.25">
      <c r="A24" s="173"/>
      <c r="B24" s="92" t="s">
        <v>224</v>
      </c>
      <c r="C24" s="202">
        <f>IFERROR(INDEX('🔄 WORKING CAPITAL'!$C$25:$N$25,1,'📋 BUDGET'!$Q$5),"-")</f>
        <v>7.0919379302298466</v>
      </c>
      <c r="D24" s="202">
        <f>IFERROR(INDEX('🔄 WORKING CAPITAL'!$C$25:$N$25,1,MAX('📋 BUDGET'!$Q$5-1,1)),"-")</f>
        <v>-0.24161747734618189</v>
      </c>
      <c r="E24" s="203">
        <f>IFERROR(INDEX('📋 BUDGET'!$P$58:$P$85,MATCH("CCC",'📋 BUDGET'!$A$58:$A$85,0)),0)</f>
        <v>20</v>
      </c>
      <c r="F24" s="194">
        <f t="shared" si="2"/>
        <v>-0.64540310348850771</v>
      </c>
      <c r="G24" s="195" t="str">
        <f t="shared" si="3"/>
        <v>🔴 Off Track</v>
      </c>
      <c r="H24" s="147" t="s">
        <v>339</v>
      </c>
      <c r="I24" s="173"/>
      <c r="J24" s="173"/>
      <c r="K24" s="173"/>
    </row>
    <row r="25" spans="1:11" ht="25.5" customHeight="1" x14ac:dyDescent="0.25">
      <c r="A25" s="173"/>
      <c r="B25" s="47" t="s">
        <v>227</v>
      </c>
      <c r="C25" s="204">
        <f>IFERROR(INDEX('🔄 WORKING CAPITAL'!$C$16:$N$16,1,'📋 BUDGET'!$Q$5),"-")</f>
        <v>1.1291866028708133</v>
      </c>
      <c r="D25" s="204">
        <f>IFERROR(INDEX('🔄 WORKING CAPITAL'!$C$16:$N$16,1,MAX('📋 BUDGET'!$Q$5-1,1)),"-")</f>
        <v>0.95754716981132071</v>
      </c>
      <c r="E25" s="205">
        <f>IFERROR(INDEX('📋 BUDGET'!$P$58:$P$85,MATCH("CURR_R",'📋 BUDGET'!$A$58:$A$85,0)),0)</f>
        <v>1.5</v>
      </c>
      <c r="F25" s="190">
        <f t="shared" si="2"/>
        <v>-0.24720893141945779</v>
      </c>
      <c r="G25" s="191" t="str">
        <f t="shared" si="3"/>
        <v>🔴 Off Track</v>
      </c>
      <c r="H25" s="147" t="s">
        <v>340</v>
      </c>
      <c r="I25" s="173"/>
      <c r="J25" s="173"/>
      <c r="K25" s="173"/>
    </row>
    <row r="26" spans="1:11" ht="25.5" customHeight="1" x14ac:dyDescent="0.25">
      <c r="A26" s="173"/>
      <c r="B26" s="47" t="s">
        <v>230</v>
      </c>
      <c r="C26" s="204">
        <f>IFERROR(INDEX('🔄 WORKING CAPITAL'!$C$17:$N$17,1,'📋 BUDGET'!$Q$5),"-")</f>
        <v>0.74641148325358853</v>
      </c>
      <c r="D26" s="204">
        <f>IFERROR(INDEX('🔄 WORKING CAPITAL'!$C$17:$N$17,1,MAX('📋 BUDGET'!$Q$5-1,1)),"-")</f>
        <v>0.64622641509433965</v>
      </c>
      <c r="E26" s="205">
        <f>IFERROR(INDEX('📋 BUDGET'!$P$58:$P$85,MATCH("QUICK_R",'📋 BUDGET'!$A$58:$A$85,0)),0)</f>
        <v>1</v>
      </c>
      <c r="F26" s="190">
        <f t="shared" si="2"/>
        <v>-0.25358851674641147</v>
      </c>
      <c r="G26" s="191" t="str">
        <f t="shared" si="3"/>
        <v>🔴 Off Track</v>
      </c>
      <c r="H26" s="147" t="s">
        <v>341</v>
      </c>
      <c r="I26" s="173"/>
      <c r="J26" s="173"/>
      <c r="K26" s="173"/>
    </row>
    <row r="27" spans="1:11" ht="25.5" customHeight="1" x14ac:dyDescent="0.25">
      <c r="A27" s="173"/>
      <c r="B27" s="321" t="s">
        <v>342</v>
      </c>
      <c r="C27" s="321"/>
      <c r="D27" s="321"/>
      <c r="E27" s="321"/>
      <c r="F27" s="321"/>
      <c r="G27" s="321"/>
      <c r="H27" s="321"/>
      <c r="I27" s="173"/>
      <c r="J27" s="173"/>
      <c r="K27" s="173"/>
    </row>
    <row r="28" spans="1:11" ht="25.5" customHeight="1" x14ac:dyDescent="0.25">
      <c r="A28" s="173"/>
      <c r="B28" s="107" t="s">
        <v>233</v>
      </c>
      <c r="C28" s="206" t="str">
        <f>IFERROR(INDEX('🔄 WORKING CAPITAL'!$C$35:$N$35,1,'📋 BUDGET'!$Q$5),"-")</f>
        <v>-</v>
      </c>
      <c r="D28" s="206" t="str">
        <f>IFERROR(INDEX('🔄 WORKING CAPITAL'!$C$35:$N$35,1,MAX('📋 BUDGET'!$Q$5-1,1)),"-")</f>
        <v>-</v>
      </c>
      <c r="E28" s="207">
        <f>IFERROR(INDEX('📋 BUDGET'!$P$58:$P$85,MATCH("CONV",'📋 BUDGET'!$A$58:$A$85,0)),0)</f>
        <v>0.04</v>
      </c>
      <c r="F28" s="208" t="str">
        <f>IFERROR((C28-E28)/ABS(E28),"-")</f>
        <v>-</v>
      </c>
      <c r="G28" s="209" t="str">
        <f>IF(F28="-","—",IF(F28&gt;=0,"✅ On Track",IF(F28&gt;=-0.1,"⚠ Near Target","🔴 Off Track")))</f>
        <v>—</v>
      </c>
      <c r="H28" s="147" t="s">
        <v>343</v>
      </c>
      <c r="I28" s="173"/>
      <c r="J28" s="173"/>
      <c r="K28" s="173"/>
    </row>
    <row r="29" spans="1:11" ht="25.5" customHeight="1" x14ac:dyDescent="0.25">
      <c r="A29" s="173"/>
      <c r="B29" s="92" t="s">
        <v>236</v>
      </c>
      <c r="C29" s="210">
        <f>IFERROR(INDEX('🔄 WORKING CAPITAL'!$C$38:$N$38,1,'📋 BUDGET'!$Q$5),"-")</f>
        <v>1.4130434782608696</v>
      </c>
      <c r="D29" s="210">
        <f>IFERROR(INDEX('🔄 WORKING CAPITAL'!$C$38:$N$38,1,MAX('📋 BUDGET'!$Q$5-1,1)),"-")</f>
        <v>0.98076923076923073</v>
      </c>
      <c r="E29" s="211">
        <f>IFERROR(INDEX('📋 BUDGET'!$P$58:$P$85,MATCH("CHURN",'📋 BUDGET'!$A$58:$A$85,0)),0)</f>
        <v>0.02</v>
      </c>
      <c r="F29" s="194">
        <f>IFERROR((C29-E29)/ABS(E29),"-")</f>
        <v>69.652173913043484</v>
      </c>
      <c r="G29" s="195" t="str">
        <f>IF(F29="-","—",IF(F29&gt;=0,"✅ On Track",IF(F29&gt;=-0.1,"⚠ Near Target","🔴 Off Track")))</f>
        <v>✅ On Track</v>
      </c>
      <c r="H29" s="147" t="s">
        <v>344</v>
      </c>
      <c r="I29" s="173"/>
      <c r="J29" s="173"/>
      <c r="K29" s="173"/>
    </row>
    <row r="30" spans="1:11" ht="25.5" customHeight="1" x14ac:dyDescent="0.25">
      <c r="A30" s="173"/>
      <c r="B30" s="70" t="s">
        <v>239</v>
      </c>
      <c r="C30" s="212">
        <f>IFERROR(INDEX('🔄 WORKING CAPITAL'!$C$41:$N$41,1,'📋 BUDGET'!$Q$5),"-")</f>
        <v>3.2201610080504026E-4</v>
      </c>
      <c r="D30" s="212">
        <f>IFERROR(INDEX('🔄 WORKING CAPITAL'!$C$41:$N$41,1,MAX('📋 BUDGET'!$Q$5-1,1)),"-")</f>
        <v>6.8821583100025445E-4</v>
      </c>
      <c r="E30" s="213">
        <f>IFERROR(INDEX('📋 BUDGET'!$P$58:$P$85,MATCH("CAC_PB",'📋 BUDGET'!$A$58:$A$85,0)),0)</f>
        <v>12</v>
      </c>
      <c r="F30" s="187">
        <f>IFERROR((C30-E30)/ABS(E30),"-")</f>
        <v>-0.99997316532493297</v>
      </c>
      <c r="G30" s="188" t="str">
        <f>IF(F30="-","—",IF(F30&gt;=0,"✅ On Track",IF(F30&gt;=-0.1,"⚠ Near Target","🔴 Off Track")))</f>
        <v>🔴 Off Track</v>
      </c>
      <c r="H30" s="147" t="s">
        <v>345</v>
      </c>
      <c r="I30" s="173"/>
      <c r="J30" s="173"/>
      <c r="K30" s="173"/>
    </row>
    <row r="31" spans="1:11" ht="25.5" customHeight="1" x14ac:dyDescent="0.25">
      <c r="A31" s="173"/>
      <c r="B31" s="38" t="s">
        <v>242</v>
      </c>
      <c r="C31" s="214">
        <f>IFERROR(INDEX('🔄 WORKING CAPITAL'!$C$42:$N$42,1,'📋 BUDGET'!$Q$5),"-")</f>
        <v>74530.434782608689</v>
      </c>
      <c r="D31" s="214">
        <f>IFERROR(INDEX('🔄 WORKING CAPITAL'!$C$42:$N$42,1,MAX('📋 BUDGET'!$Q$5-1,1)),"-")</f>
        <v>34872.781065088762</v>
      </c>
      <c r="E31" s="215">
        <f>IFERROR(INDEX('📋 BUDGET'!$P$58:$P$85,MATCH("LTV_CAC",'📋 BUDGET'!$A$58:$A$85,0)),0)</f>
        <v>3</v>
      </c>
      <c r="F31" s="175">
        <f>IFERROR((C31-E31)/ABS(E31),"-")</f>
        <v>24842.478260869564</v>
      </c>
      <c r="G31" s="176" t="str">
        <f>IF(F31="-","—",IF(F31&gt;=0,"✅ On Track",IF(F31&gt;=-0.1,"⚠ Near Target","🔴 Off Track")))</f>
        <v>✅ On Track</v>
      </c>
      <c r="H31" s="147" t="s">
        <v>346</v>
      </c>
      <c r="I31" s="173"/>
      <c r="J31" s="173"/>
      <c r="K31" s="173"/>
    </row>
    <row r="32" spans="1:11" ht="25.5" customHeight="1" x14ac:dyDescent="0.25">
      <c r="A32" s="173"/>
      <c r="B32" s="92" t="s">
        <v>245</v>
      </c>
      <c r="C32" s="216">
        <f>IFERROR(INDEX('🔄 WORKING CAPITAL'!$C$43:$N$43,1,'📋 BUDGET'!$Q$5),"-")</f>
        <v>0.85981799089954503</v>
      </c>
      <c r="D32" s="216">
        <f>IFERROR(INDEX('🔄 WORKING CAPITAL'!$C$43:$N$43,1,MAX('📋 BUDGET'!$Q$5-1,1)),"-")</f>
        <v>0.81471112242300836</v>
      </c>
      <c r="E32" s="217">
        <f>IFERROR(INDEX('📋 BUDGET'!$P$58:$P$85,MATCH("BURN_M",'📋 BUDGET'!$A$58:$A$85,0)),0)</f>
        <v>1.5</v>
      </c>
      <c r="F32" s="194">
        <f>IFERROR((C32-E32)/ABS(E32),"-")</f>
        <v>-0.42678800606696998</v>
      </c>
      <c r="G32" s="195" t="str">
        <f>IF(F32="-","—",IF(F32&gt;=0,"✅ On Track",IF(F32&gt;=-0.1,"⚠ Near Target","🔴 Off Track")))</f>
        <v>🔴 Off Track</v>
      </c>
      <c r="H32" s="147" t="s">
        <v>347</v>
      </c>
      <c r="I32" s="173"/>
      <c r="J32" s="173"/>
      <c r="K32" s="173"/>
    </row>
    <row r="33" spans="1:11" ht="25.5" customHeight="1" x14ac:dyDescent="0.25">
      <c r="A33" s="173"/>
      <c r="B33" s="322" t="s">
        <v>348</v>
      </c>
      <c r="C33" s="322"/>
      <c r="D33" s="322"/>
      <c r="E33" s="322"/>
      <c r="F33" s="322"/>
      <c r="G33" s="322"/>
      <c r="H33" s="322"/>
      <c r="I33" s="173"/>
      <c r="J33" s="173"/>
      <c r="K33" s="173"/>
    </row>
    <row r="34" spans="1:11" ht="25.5" customHeight="1" x14ac:dyDescent="0.25">
      <c r="A34" s="173"/>
      <c r="B34" s="107" t="s">
        <v>248</v>
      </c>
      <c r="C34" s="218">
        <f>IFERROR(INDEX('👥 HR &amp; HEADCOUNT'!$C$4:$N$4,1,'📋 BUDGET'!$Q$5),"-")</f>
        <v>45</v>
      </c>
      <c r="D34" s="218">
        <f>IFERROR(INDEX('👥 HR &amp; HEADCOUNT'!$C$4:$N$4,1,MAX('📋 BUDGET'!$Q$5-1,1)),"-")</f>
        <v>48</v>
      </c>
      <c r="E34" s="219">
        <f>IFERROR(INDEX('📋 BUDGET'!$P$58:$P$85,MATCH("HC",'📋 BUDGET'!$A$58:$A$85,0)),0)</f>
        <v>44</v>
      </c>
      <c r="F34" s="208">
        <f>IFERROR((C34-E34)/ABS(E34),"-")</f>
        <v>2.2727272727272728E-2</v>
      </c>
      <c r="G34" s="209" t="str">
        <f>IF(F34="-","—",IF(F34&gt;=0,"✅ On Track",IF(F34&gt;=-0.1,"⚠ Near Target","🔴 Off Track")))</f>
        <v>✅ On Track</v>
      </c>
      <c r="H34" s="147" t="s">
        <v>349</v>
      </c>
      <c r="I34" s="173"/>
      <c r="J34" s="173"/>
      <c r="K34" s="173"/>
    </row>
    <row r="35" spans="1:11" ht="25.5" customHeight="1" x14ac:dyDescent="0.25">
      <c r="A35" s="173"/>
      <c r="B35" s="92" t="s">
        <v>251</v>
      </c>
      <c r="C35" s="210">
        <f>IFERROR(INDEX('👥 HR &amp; HEADCOUNT'!$C$7:$N$7,1,'📋 BUDGET'!$Q$5),"-")</f>
        <v>0.09</v>
      </c>
      <c r="D35" s="210">
        <f>IFERROR(INDEX('👥 HR &amp; HEADCOUNT'!$C$7:$N$7,1,MAX('📋 BUDGET'!$Q$5-1,1)),"-")</f>
        <v>0.08</v>
      </c>
      <c r="E35" s="211">
        <f>IFERROR(INDEX('📋 BUDGET'!$P$58:$P$85,MATCH("ATTR",'📋 BUDGET'!$A$58:$A$85,0)),0)</f>
        <v>1.4999999999999999E-2</v>
      </c>
      <c r="F35" s="194">
        <f>IFERROR((C35-E35)/ABS(E35),"-")</f>
        <v>5</v>
      </c>
      <c r="G35" s="195" t="str">
        <f>IF(F35="-","—",IF(F35&gt;=0,"✅ On Track",IF(F35&gt;=-0.1,"⚠ Near Target","🔴 Off Track")))</f>
        <v>✅ On Track</v>
      </c>
      <c r="H35" s="147" t="s">
        <v>350</v>
      </c>
      <c r="I35" s="173"/>
      <c r="J35" s="173"/>
      <c r="K35" s="173"/>
    </row>
    <row r="36" spans="1:11" ht="25.5" customHeight="1" x14ac:dyDescent="0.25">
      <c r="A36" s="173"/>
      <c r="B36" s="107" t="s">
        <v>254</v>
      </c>
      <c r="C36" s="220">
        <f>IFERROR(INDEX('👥 HR &amp; HEADCOUNT'!$C$6:$N$6,1,'📋 BUDGET'!$Q$5),"-")</f>
        <v>62</v>
      </c>
      <c r="D36" s="220">
        <f>IFERROR(INDEX('👥 HR &amp; HEADCOUNT'!$C$6:$N$6,1,MAX('📋 BUDGET'!$Q$5-1,1)),"-")</f>
        <v>44</v>
      </c>
      <c r="E36" s="221">
        <f>IFERROR(INDEX('📋 BUDGET'!$P$58:$P$85,MATCH("REV_EMP",'📋 BUDGET'!$A$58:$A$85,0)),0)</f>
        <v>10.75</v>
      </c>
      <c r="F36" s="208">
        <f>IFERROR((C36-E36)/ABS(E36),"-")</f>
        <v>4.7674418604651159</v>
      </c>
      <c r="G36" s="209" t="str">
        <f>IF(F36="-","—",IF(F36&gt;=0,"✅ On Track",IF(F36&gt;=-0.1,"⚠ Near Target","🔴 Off Track")))</f>
        <v>✅ On Track</v>
      </c>
      <c r="H36" s="147" t="s">
        <v>351</v>
      </c>
      <c r="I36" s="173"/>
      <c r="J36" s="173"/>
      <c r="K36" s="173"/>
    </row>
    <row r="37" spans="1:11" ht="25.5" customHeight="1" x14ac:dyDescent="0.25">
      <c r="A37" s="173"/>
      <c r="B37" s="70" t="s">
        <v>257</v>
      </c>
      <c r="C37" s="185">
        <f>IFERROR(INDEX('🔄 WORKING CAPITAL'!$C$55:$N$55,1,'📋 BUDGET'!$Q$5),"-")</f>
        <v>1.6450822541127057E-2</v>
      </c>
      <c r="D37" s="185">
        <f>IFERROR(INDEX('🔄 WORKING CAPITAL'!$C$55:$N$55,1,MAX('📋 BUDGET'!$Q$5-1,1)),"-")</f>
        <v>2.0106897429371343E-2</v>
      </c>
      <c r="E37" s="186">
        <f>IFERROR(INDEX('📋 BUDGET'!$P$58:$P$85,MATCH("PAYROLL_R",'📋 BUDGET'!$A$58:$A$85,0)),0)</f>
        <v>6.765327695560254E-2</v>
      </c>
      <c r="F37" s="187">
        <f>IFERROR((C37-E37)/ABS(E37),"-")</f>
        <v>-0.75683627931396569</v>
      </c>
      <c r="G37" s="188" t="str">
        <f>IF(F37="-","—",IF(F37&gt;=0,"✅ On Track",IF(F37&gt;=-0.1,"⚠ Near Target","🔴 Off Track")))</f>
        <v>🔴 Off Track</v>
      </c>
      <c r="H37" s="147" t="s">
        <v>352</v>
      </c>
      <c r="I37" s="173"/>
      <c r="J37" s="173"/>
      <c r="K37" s="173"/>
    </row>
    <row r="38" spans="1:11" ht="21.75" customHeight="1" x14ac:dyDescent="0.25">
      <c r="A38" s="173"/>
      <c r="B38" s="222"/>
      <c r="C38" s="223"/>
      <c r="D38" s="224"/>
      <c r="E38" s="224"/>
      <c r="F38" s="225"/>
      <c r="G38" s="226"/>
      <c r="H38" s="227"/>
      <c r="I38" s="173"/>
      <c r="J38" s="173"/>
      <c r="K38" s="173"/>
    </row>
    <row r="39" spans="1:11" ht="21.75" customHeight="1" x14ac:dyDescent="0.25">
      <c r="A39" s="173"/>
      <c r="B39" s="222"/>
      <c r="C39" s="228"/>
      <c r="D39" s="229"/>
      <c r="E39" s="229"/>
      <c r="F39" s="225"/>
      <c r="G39" s="226"/>
      <c r="H39" s="227"/>
      <c r="I39" s="173"/>
      <c r="J39" s="173"/>
      <c r="K39" s="173"/>
    </row>
    <row r="40" spans="1:11" ht="21.75" customHeight="1" x14ac:dyDescent="0.25">
      <c r="A40" s="173"/>
      <c r="B40" s="222"/>
      <c r="C40" s="228"/>
      <c r="D40" s="229"/>
      <c r="E40" s="229"/>
      <c r="F40" s="225"/>
      <c r="G40" s="226"/>
      <c r="H40" s="227"/>
      <c r="I40" s="173"/>
      <c r="J40" s="173"/>
      <c r="K40" s="173"/>
    </row>
    <row r="41" spans="1:11" ht="25.5" customHeight="1" x14ac:dyDescent="0.25">
      <c r="A41" s="173"/>
      <c r="B41" s="230"/>
      <c r="C41" s="173"/>
      <c r="D41" s="173"/>
      <c r="E41" s="173"/>
      <c r="F41" s="173"/>
      <c r="G41" s="173"/>
      <c r="H41" s="173"/>
      <c r="I41" s="173"/>
      <c r="J41" s="173"/>
      <c r="K41" s="173"/>
    </row>
    <row r="42" spans="1:11" ht="21.75" customHeight="1" x14ac:dyDescent="0.25">
      <c r="A42" s="173"/>
      <c r="B42" s="222"/>
      <c r="C42" s="228"/>
      <c r="D42" s="229"/>
      <c r="E42" s="229"/>
      <c r="F42" s="225"/>
      <c r="G42" s="226"/>
      <c r="H42" s="227"/>
      <c r="I42" s="173"/>
      <c r="J42" s="173"/>
      <c r="K42" s="173"/>
    </row>
    <row r="43" spans="1:11" ht="21.75" customHeight="1" x14ac:dyDescent="0.25">
      <c r="A43" s="173"/>
      <c r="B43" s="222"/>
      <c r="C43" s="231"/>
      <c r="D43" s="232"/>
      <c r="E43" s="232"/>
      <c r="F43" s="225"/>
      <c r="G43" s="226"/>
      <c r="H43" s="227"/>
      <c r="I43" s="173"/>
      <c r="J43" s="173"/>
      <c r="K43" s="173"/>
    </row>
    <row r="44" spans="1:11" ht="21.75" customHeight="1" x14ac:dyDescent="0.25">
      <c r="A44" s="173"/>
      <c r="B44" s="222"/>
      <c r="C44" s="231"/>
      <c r="D44" s="232"/>
      <c r="E44" s="232"/>
      <c r="F44" s="225"/>
      <c r="G44" s="226"/>
      <c r="H44" s="227"/>
      <c r="I44" s="173"/>
      <c r="J44" s="173"/>
      <c r="K44" s="173"/>
    </row>
    <row r="45" spans="1:11" ht="15" customHeight="1" x14ac:dyDescent="0.25">
      <c r="A45" s="173"/>
      <c r="B45" s="173"/>
      <c r="C45" s="173"/>
      <c r="D45" s="173"/>
      <c r="E45" s="173"/>
      <c r="F45" s="173"/>
      <c r="G45" s="173"/>
      <c r="H45" s="173"/>
      <c r="I45" s="173"/>
      <c r="J45" s="173"/>
      <c r="K45" s="173"/>
    </row>
    <row r="46" spans="1:11" ht="15" customHeight="1" x14ac:dyDescent="0.25">
      <c r="A46" s="173"/>
      <c r="B46" s="173"/>
      <c r="C46" s="173"/>
      <c r="D46" s="173"/>
      <c r="E46" s="173"/>
      <c r="F46" s="173"/>
      <c r="G46" s="173"/>
      <c r="H46" s="173"/>
      <c r="I46" s="173"/>
      <c r="J46" s="173"/>
      <c r="K46" s="173"/>
    </row>
    <row r="47" spans="1:11" ht="15" customHeight="1" x14ac:dyDescent="0.25">
      <c r="A47" s="173"/>
      <c r="B47" s="173"/>
      <c r="C47" s="173"/>
      <c r="D47" s="173"/>
      <c r="E47" s="173"/>
      <c r="F47" s="173"/>
      <c r="G47" s="173"/>
      <c r="H47" s="173"/>
      <c r="I47" s="173"/>
      <c r="J47" s="173"/>
      <c r="K47" s="173"/>
    </row>
    <row r="48" spans="1:11" ht="15" customHeight="1" x14ac:dyDescent="0.25">
      <c r="A48" s="173"/>
      <c r="B48" s="173"/>
      <c r="C48" s="173"/>
      <c r="D48" s="173"/>
      <c r="E48" s="173"/>
      <c r="F48" s="173"/>
      <c r="G48" s="173"/>
      <c r="H48" s="173"/>
      <c r="I48" s="173"/>
      <c r="J48" s="173"/>
      <c r="K48" s="173"/>
    </row>
  </sheetData>
  <sheetProtection algorithmName="SHA-512" hashValue="TQDcolLmO64Ur4VecJtBOrK+JToX96OEVaPv+c22hnm9S+8alIbC37wRwZsbbyx4CfZ22RyTazbD22A7UZ7AnQ==" saltValue="rqFN8vLBepwPTj2Vi1vBSw==" spinCount="100000" sheet="1" objects="1" scenarios="1"/>
  <mergeCells count="7">
    <mergeCell ref="B27:H27"/>
    <mergeCell ref="B33:H33"/>
    <mergeCell ref="B2:H2"/>
    <mergeCell ref="B4:H4"/>
    <mergeCell ref="B8:H8"/>
    <mergeCell ref="B13:H13"/>
    <mergeCell ref="B20:H20"/>
  </mergeCells>
  <pageMargins left="0.75" right="0.75" top="1" bottom="1" header="0.511811023622047" footer="0.511811023622047"/>
  <pageSetup paperSize="9" fitToHeight="0" orientation="landscape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D4AC0D"/>
    <pageSetUpPr fitToPage="1"/>
  </sheetPr>
  <dimension ref="A1:M83"/>
  <sheetViews>
    <sheetView showGridLines="0" topLeftCell="B1" zoomScale="73" zoomScaleNormal="73" workbookViewId="0">
      <selection activeCell="B2" sqref="B2:J2"/>
    </sheetView>
  </sheetViews>
  <sheetFormatPr defaultColWidth="8.7109375" defaultRowHeight="15" x14ac:dyDescent="0.25"/>
  <cols>
    <col min="1" max="1" width="2" style="348" customWidth="1"/>
    <col min="2" max="10" width="26" style="348" customWidth="1"/>
    <col min="11" max="11" width="2" style="348" customWidth="1"/>
    <col min="12" max="16384" width="8.7109375" style="348"/>
  </cols>
  <sheetData>
    <row r="1" spans="1:13" ht="7.5" customHeight="1" x14ac:dyDescent="0.25">
      <c r="A1" s="346"/>
      <c r="B1" s="347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</row>
    <row r="2" spans="1:13" ht="51.75" customHeight="1" x14ac:dyDescent="0.25">
      <c r="A2" s="346"/>
      <c r="B2" s="453" t="s">
        <v>618</v>
      </c>
      <c r="C2" s="453"/>
      <c r="D2" s="453"/>
      <c r="E2" s="453"/>
      <c r="F2" s="453"/>
      <c r="G2" s="453"/>
      <c r="H2" s="453"/>
      <c r="I2" s="453"/>
      <c r="J2" s="453"/>
      <c r="K2" s="346"/>
      <c r="L2" s="346"/>
      <c r="M2" s="346"/>
    </row>
    <row r="3" spans="1:13" ht="27.75" customHeight="1" x14ac:dyDescent="0.25">
      <c r="A3" s="346"/>
      <c r="B3" s="349" t="str">
        <f>'📥 RAW DATA INPUT'!D4&amp;"   |   📅 "&amp;'📥 RAW DATA INPUT'!D5&amp;"   |   All figures ₹'000 unless noted"</f>
        <v>Month   |   📅 Year   |   All figures ₹'000 unless noted</v>
      </c>
      <c r="C3" s="349"/>
      <c r="D3" s="349"/>
      <c r="E3" s="349"/>
      <c r="F3" s="349"/>
      <c r="G3" s="349"/>
      <c r="H3" s="349"/>
      <c r="I3" s="349"/>
      <c r="J3" s="349"/>
      <c r="K3" s="346"/>
      <c r="L3" s="346"/>
      <c r="M3" s="346"/>
    </row>
    <row r="4" spans="1:13" ht="4.5" customHeight="1" x14ac:dyDescent="0.25">
      <c r="A4" s="346"/>
      <c r="B4" s="350"/>
      <c r="C4" s="350"/>
      <c r="D4" s="350"/>
      <c r="E4" s="350"/>
      <c r="F4" s="350"/>
      <c r="G4" s="350"/>
      <c r="H4" s="350"/>
      <c r="I4" s="350"/>
      <c r="J4" s="351"/>
      <c r="K4" s="346"/>
      <c r="L4" s="346"/>
      <c r="M4" s="346"/>
    </row>
    <row r="5" spans="1:13" ht="21.75" customHeight="1" x14ac:dyDescent="0.25">
      <c r="A5" s="346"/>
      <c r="B5" s="352" t="s">
        <v>353</v>
      </c>
      <c r="C5" s="353" t="s">
        <v>354</v>
      </c>
      <c r="D5" s="354" t="s">
        <v>355</v>
      </c>
      <c r="E5" s="355" t="s">
        <v>356</v>
      </c>
      <c r="F5" s="356" t="s">
        <v>357</v>
      </c>
      <c r="G5" s="357" t="s">
        <v>358</v>
      </c>
      <c r="H5" s="358" t="s">
        <v>359</v>
      </c>
      <c r="I5" s="359" t="s">
        <v>360</v>
      </c>
      <c r="J5" s="346"/>
      <c r="K5" s="346"/>
      <c r="L5" s="346"/>
      <c r="M5" s="346"/>
    </row>
    <row r="6" spans="1:13" ht="31.5" customHeight="1" x14ac:dyDescent="0.25">
      <c r="A6" s="346"/>
      <c r="B6" s="360">
        <f>IFERROR(INDEX('📦 SALES &amp; REVENUE'!$C$12:$N$12,1,'📋 BUDGET'!$Q$5),"-")</f>
        <v>5714</v>
      </c>
      <c r="C6" s="361">
        <f>IFERROR(INDEX('💰 P&amp;L SUMMARY'!$C$24:$N$24,1,'📋 BUDGET'!$Q$5),"-")</f>
        <v>3839.25</v>
      </c>
      <c r="D6" s="362">
        <f>IFERROR(INDEX('💰 P&amp;L SUMMARY'!$C$9:$N$9,1,'📋 BUDGET'!$Q$5),"-")</f>
        <v>0.98739936996849842</v>
      </c>
      <c r="E6" s="363">
        <f>IFERROR(INDEX('💰 P&amp;L SUMMARY'!$C$18:$N$18,1,'📋 BUDGET'!$Q$5),"-")</f>
        <v>0.91984599229961495</v>
      </c>
      <c r="F6" s="364">
        <f>IFERROR(INDEX('💰 P&amp;L SUMMARY'!$C$28:$N$28,1,'📋 BUDGET'!$Q$5),"-")</f>
        <v>-194</v>
      </c>
      <c r="G6" s="365">
        <f>IFERROR(INDEX('🏦 CASH FLOW'!$C$20:$N$20,1,'📋 BUDGET'!$Q$5),"-")</f>
        <v>-103</v>
      </c>
      <c r="H6" s="366">
        <f>IFERROR(INDEX('🏦 CASH FLOW'!$C$21:$N$21,1,'📋 BUDGET'!$Q$5),"-")</f>
        <v>1.0729166666666667</v>
      </c>
      <c r="I6" s="367">
        <f>IFERROR(INDEX('💰 P&amp;L SUMMARY'!$C$27:$N$27,1,'📋 BUDGET'!$Q$5),"-")</f>
        <v>-96</v>
      </c>
      <c r="J6" s="346"/>
      <c r="K6" s="346"/>
      <c r="L6" s="346"/>
      <c r="M6" s="346"/>
    </row>
    <row r="7" spans="1:13" ht="9.75" customHeight="1" x14ac:dyDescent="0.25">
      <c r="A7" s="346"/>
      <c r="B7" s="346"/>
      <c r="C7" s="346"/>
      <c r="D7" s="346"/>
      <c r="E7" s="346"/>
      <c r="F7" s="346"/>
      <c r="G7" s="346"/>
      <c r="H7" s="346"/>
      <c r="I7" s="346"/>
      <c r="J7" s="346"/>
      <c r="K7" s="346"/>
      <c r="L7" s="346"/>
      <c r="M7" s="346"/>
    </row>
    <row r="8" spans="1:13" ht="43.5" customHeight="1" x14ac:dyDescent="0.25">
      <c r="A8" s="346"/>
      <c r="B8" s="368" t="s">
        <v>361</v>
      </c>
      <c r="C8" s="369" t="s">
        <v>362</v>
      </c>
      <c r="D8" s="370" t="s">
        <v>363</v>
      </c>
      <c r="E8" s="371" t="s">
        <v>364</v>
      </c>
      <c r="F8" s="370" t="s">
        <v>365</v>
      </c>
      <c r="G8" s="372" t="s">
        <v>366</v>
      </c>
      <c r="H8" s="369" t="s">
        <v>367</v>
      </c>
      <c r="I8" s="372" t="s">
        <v>368</v>
      </c>
      <c r="J8" s="346"/>
      <c r="K8" s="346"/>
      <c r="L8" s="346"/>
      <c r="M8" s="346"/>
    </row>
    <row r="9" spans="1:13" ht="27.75" customHeight="1" x14ac:dyDescent="0.25">
      <c r="A9" s="346"/>
      <c r="B9" s="373">
        <f>IFERROR(INDEX('💰 P&amp;L SUMMARY'!$C$29:$N$29,1,'📋 BUDGET'!$Q$5),"-")</f>
        <v>-1.8264840182648401E-2</v>
      </c>
      <c r="C9" s="374">
        <f>IFERROR(INDEX('💰 P&amp;L SUMMARY'!$C$30:$N$30,1,'📋 BUDGET'!$Q$5),"-")</f>
        <v>1.3650682534126707E-2</v>
      </c>
      <c r="D9" s="375">
        <f>IFERROR(INDEX('💰 P&amp;L SUMMARY'!$C$31:$N$31,1,'📋 BUDGET'!$Q$5),"-")</f>
        <v>6.7553377668883446E-2</v>
      </c>
      <c r="E9" s="376">
        <f>IFERROR(INDEX('🔄 WORKING CAPITAL'!$C$22:$N$22,1,'📋 BUDGET'!$Q$5),"-")</f>
        <v>0.42527126356317813</v>
      </c>
      <c r="F9" s="377">
        <f>IFERROR(INDEX('🔄 WORKING CAPITAL'!$C$23:$N$23,1,'📋 BUDGET'!$Q$5),"-")</f>
        <v>26.666666666666664</v>
      </c>
      <c r="G9" s="378">
        <f>IFERROR(INDEX('🔄 WORKING CAPITAL'!$C$25:$N$25,1,'📋 BUDGET'!$Q$5),"-")</f>
        <v>7.0919379302298466</v>
      </c>
      <c r="H9" s="379">
        <f>IFERROR(INDEX('🔄 WORKING CAPITAL'!$C$42:$N$42,1,'📋 BUDGET'!$Q$5),"-")</f>
        <v>74530.434782608689</v>
      </c>
      <c r="I9" s="380">
        <f>IFERROR(INDEX('🔄 WORKING CAPITAL'!$C$38:$N$38,1,'📋 BUDGET'!$Q$5),"-")</f>
        <v>1.4130434782608696</v>
      </c>
      <c r="J9" s="346"/>
      <c r="K9" s="346"/>
      <c r="L9" s="346"/>
      <c r="M9" s="346"/>
    </row>
    <row r="10" spans="1:13" ht="9.75" customHeight="1" x14ac:dyDescent="0.25">
      <c r="A10" s="346"/>
      <c r="B10" s="381"/>
      <c r="C10" s="382"/>
      <c r="D10" s="382"/>
      <c r="E10" s="382"/>
      <c r="F10" s="382"/>
      <c r="G10" s="382"/>
      <c r="H10" s="382"/>
      <c r="I10" s="382"/>
      <c r="J10" s="346"/>
      <c r="K10" s="346"/>
      <c r="L10" s="346"/>
      <c r="M10" s="346"/>
    </row>
    <row r="11" spans="1:13" ht="18" customHeight="1" x14ac:dyDescent="0.25">
      <c r="A11" s="346"/>
      <c r="B11" s="381"/>
      <c r="C11" s="382"/>
      <c r="D11" s="382"/>
      <c r="E11" s="382"/>
      <c r="F11" s="382"/>
      <c r="G11" s="382"/>
      <c r="H11" s="382"/>
      <c r="I11" s="382"/>
      <c r="J11" s="346"/>
      <c r="K11" s="346"/>
      <c r="L11" s="346"/>
      <c r="M11" s="346"/>
    </row>
    <row r="12" spans="1:13" ht="30" customHeight="1" x14ac:dyDescent="0.25">
      <c r="A12" s="346"/>
      <c r="B12" s="383" t="s">
        <v>369</v>
      </c>
      <c r="C12" s="383"/>
      <c r="D12" s="383"/>
      <c r="E12" s="383"/>
      <c r="F12" s="383"/>
      <c r="G12" s="383"/>
      <c r="H12" s="383"/>
      <c r="I12" s="383"/>
      <c r="J12" s="383"/>
      <c r="K12" s="346"/>
      <c r="L12" s="346"/>
      <c r="M12" s="346"/>
    </row>
    <row r="13" spans="1:13" ht="25.5" customHeight="1" x14ac:dyDescent="0.25">
      <c r="A13" s="346"/>
      <c r="B13" s="384" t="s">
        <v>127</v>
      </c>
      <c r="C13" s="385" t="s">
        <v>62</v>
      </c>
      <c r="D13" s="385" t="s">
        <v>63</v>
      </c>
      <c r="E13" s="385" t="s">
        <v>64</v>
      </c>
      <c r="F13" s="385" t="s">
        <v>65</v>
      </c>
      <c r="G13" s="385" t="s">
        <v>66</v>
      </c>
      <c r="H13" s="385" t="s">
        <v>67</v>
      </c>
      <c r="I13" s="385" t="s">
        <v>370</v>
      </c>
      <c r="J13" s="384" t="s">
        <v>371</v>
      </c>
      <c r="K13" s="346"/>
      <c r="L13" s="346"/>
      <c r="M13" s="346"/>
    </row>
    <row r="14" spans="1:13" ht="19.5" customHeight="1" x14ac:dyDescent="0.25">
      <c r="A14" s="346"/>
      <c r="B14" s="386" t="s">
        <v>372</v>
      </c>
      <c r="C14" s="387">
        <f>'📥 RAW DATA INPUT'!C23</f>
        <v>3984</v>
      </c>
      <c r="D14" s="387">
        <f>'📥 RAW DATA INPUT'!D23</f>
        <v>3783</v>
      </c>
      <c r="E14" s="387">
        <f>'📥 RAW DATA INPUT'!E23</f>
        <v>3344</v>
      </c>
      <c r="F14" s="387">
        <f>'📥 RAW DATA INPUT'!F23</f>
        <v>4062</v>
      </c>
      <c r="G14" s="387">
        <f>'📥 RAW DATA INPUT'!G23</f>
        <v>3866</v>
      </c>
      <c r="H14" s="387">
        <f>'📥 RAW DATA INPUT'!H23</f>
        <v>3501</v>
      </c>
      <c r="I14" s="388">
        <f t="shared" ref="I14:I19" si="0">IFERROR(SUM(C14:H14),"-")</f>
        <v>22540</v>
      </c>
      <c r="J14" s="346"/>
      <c r="K14" s="346"/>
      <c r="L14" s="346"/>
      <c r="M14" s="346"/>
    </row>
    <row r="15" spans="1:13" ht="19.5" customHeight="1" x14ac:dyDescent="0.25">
      <c r="A15" s="346"/>
      <c r="B15" s="386" t="s">
        <v>373</v>
      </c>
      <c r="C15" s="387">
        <f>'💰 P&amp;L SUMMARY'!C8</f>
        <v>3913</v>
      </c>
      <c r="D15" s="387">
        <f>'💰 P&amp;L SUMMARY'!D8</f>
        <v>3693</v>
      </c>
      <c r="E15" s="387">
        <f>'💰 P&amp;L SUMMARY'!E8</f>
        <v>3266</v>
      </c>
      <c r="F15" s="387">
        <f>'💰 P&amp;L SUMMARY'!F8</f>
        <v>3984</v>
      </c>
      <c r="G15" s="387">
        <f>'💰 P&amp;L SUMMARY'!G8</f>
        <v>3801</v>
      </c>
      <c r="H15" s="387">
        <f>'💰 P&amp;L SUMMARY'!H8</f>
        <v>3433</v>
      </c>
      <c r="I15" s="388">
        <f t="shared" si="0"/>
        <v>22090</v>
      </c>
      <c r="J15" s="346"/>
      <c r="K15" s="346"/>
      <c r="L15" s="346"/>
      <c r="M15" s="346"/>
    </row>
    <row r="16" spans="1:13" ht="19.5" customHeight="1" x14ac:dyDescent="0.25">
      <c r="A16" s="346"/>
      <c r="B16" s="389" t="s">
        <v>185</v>
      </c>
      <c r="C16" s="390">
        <f>'💰 P&amp;L SUMMARY'!C17</f>
        <v>3520</v>
      </c>
      <c r="D16" s="390">
        <f>'💰 P&amp;L SUMMARY'!D17</f>
        <v>3345</v>
      </c>
      <c r="E16" s="390">
        <f>'💰 P&amp;L SUMMARY'!E17</f>
        <v>2968</v>
      </c>
      <c r="F16" s="390">
        <f>'💰 P&amp;L SUMMARY'!F17</f>
        <v>3579</v>
      </c>
      <c r="G16" s="390">
        <f>'💰 P&amp;L SUMMARY'!G17</f>
        <v>3428</v>
      </c>
      <c r="H16" s="390">
        <f>'💰 P&amp;L SUMMARY'!H17</f>
        <v>3052</v>
      </c>
      <c r="I16" s="388">
        <f t="shared" si="0"/>
        <v>19892</v>
      </c>
      <c r="J16" s="346"/>
      <c r="K16" s="346"/>
      <c r="L16" s="346"/>
      <c r="M16" s="346"/>
    </row>
    <row r="17" spans="1:13" ht="19.5" customHeight="1" x14ac:dyDescent="0.25">
      <c r="A17" s="346"/>
      <c r="B17" s="391" t="s">
        <v>374</v>
      </c>
      <c r="C17" s="392">
        <f>'💰 P&amp;L SUMMARY'!C27</f>
        <v>-102</v>
      </c>
      <c r="D17" s="392">
        <f>'💰 P&amp;L SUMMARY'!D27</f>
        <v>-89</v>
      </c>
      <c r="E17" s="392">
        <f>'💰 P&amp;L SUMMARY'!E27</f>
        <v>-88</v>
      </c>
      <c r="F17" s="392">
        <f>'💰 P&amp;L SUMMARY'!F27</f>
        <v>-93</v>
      </c>
      <c r="G17" s="392">
        <f>'💰 P&amp;L SUMMARY'!G27</f>
        <v>-104</v>
      </c>
      <c r="H17" s="392">
        <f>'💰 P&amp;L SUMMARY'!H27</f>
        <v>-83</v>
      </c>
      <c r="I17" s="388">
        <f t="shared" si="0"/>
        <v>-559</v>
      </c>
      <c r="J17" s="346"/>
      <c r="K17" s="346"/>
      <c r="L17" s="346"/>
      <c r="M17" s="346"/>
    </row>
    <row r="18" spans="1:13" ht="19.5" customHeight="1" x14ac:dyDescent="0.25">
      <c r="A18" s="346"/>
      <c r="B18" s="391" t="s">
        <v>375</v>
      </c>
      <c r="C18" s="392">
        <f>'💰 P&amp;L SUMMARY'!C28</f>
        <v>-197</v>
      </c>
      <c r="D18" s="392">
        <f>'💰 P&amp;L SUMMARY'!D28</f>
        <v>-172</v>
      </c>
      <c r="E18" s="392">
        <f>'💰 P&amp;L SUMMARY'!E28</f>
        <v>-185</v>
      </c>
      <c r="F18" s="392">
        <f>'💰 P&amp;L SUMMARY'!F28</f>
        <v>-181</v>
      </c>
      <c r="G18" s="392">
        <f>'💰 P&amp;L SUMMARY'!G28</f>
        <v>-200</v>
      </c>
      <c r="H18" s="392">
        <f>'💰 P&amp;L SUMMARY'!H28</f>
        <v>-167</v>
      </c>
      <c r="I18" s="388">
        <f t="shared" si="0"/>
        <v>-1102</v>
      </c>
      <c r="J18" s="346"/>
      <c r="K18" s="346"/>
      <c r="L18" s="346"/>
      <c r="M18" s="346"/>
    </row>
    <row r="19" spans="1:13" ht="19.5" customHeight="1" x14ac:dyDescent="0.25">
      <c r="A19" s="346"/>
      <c r="B19" s="389" t="s">
        <v>376</v>
      </c>
      <c r="C19" s="390">
        <f>'💰 P&amp;L SUMMARY'!C24</f>
        <v>2547.75</v>
      </c>
      <c r="D19" s="390">
        <f>'💰 P&amp;L SUMMARY'!D24</f>
        <v>2418</v>
      </c>
      <c r="E19" s="390">
        <f>'💰 P&amp;L SUMMARY'!E24</f>
        <v>2151</v>
      </c>
      <c r="F19" s="390">
        <f>'💰 P&amp;L SUMMARY'!F24</f>
        <v>2591.25</v>
      </c>
      <c r="G19" s="390">
        <f>'💰 P&amp;L SUMMARY'!G24</f>
        <v>2495.25</v>
      </c>
      <c r="H19" s="390">
        <f>'💰 P&amp;L SUMMARY'!H24</f>
        <v>2190</v>
      </c>
      <c r="I19" s="388">
        <f t="shared" si="0"/>
        <v>14393.25</v>
      </c>
      <c r="J19" s="346"/>
      <c r="K19" s="346"/>
      <c r="L19" s="346"/>
      <c r="M19" s="346"/>
    </row>
    <row r="20" spans="1:13" ht="19.5" customHeight="1" x14ac:dyDescent="0.25">
      <c r="A20" s="346"/>
      <c r="B20" s="389" t="s">
        <v>188</v>
      </c>
      <c r="C20" s="393">
        <f>'💰 P&amp;L SUMMARY'!C18</f>
        <v>0.88353413654618473</v>
      </c>
      <c r="D20" s="393">
        <f>'💰 P&amp;L SUMMARY'!D18</f>
        <v>0.88421887390959553</v>
      </c>
      <c r="E20" s="393">
        <f>'💰 P&amp;L SUMMARY'!E18</f>
        <v>0.88755980861244022</v>
      </c>
      <c r="F20" s="393">
        <f>'💰 P&amp;L SUMMARY'!F18</f>
        <v>0.88109305760709011</v>
      </c>
      <c r="G20" s="393">
        <f>'💰 P&amp;L SUMMARY'!G18</f>
        <v>0.88670460424211073</v>
      </c>
      <c r="H20" s="393">
        <f>'💰 P&amp;L SUMMARY'!H18</f>
        <v>0.87175092830619827</v>
      </c>
      <c r="I20" s="394">
        <f>IFERROR(AVERAGE(C20:H20),"-")</f>
        <v>0.88247690153726988</v>
      </c>
      <c r="J20" s="346"/>
      <c r="K20" s="346"/>
      <c r="L20" s="346"/>
      <c r="M20" s="346"/>
    </row>
    <row r="21" spans="1:13" ht="19.5" customHeight="1" x14ac:dyDescent="0.25">
      <c r="A21" s="346"/>
      <c r="B21" s="389" t="s">
        <v>377</v>
      </c>
      <c r="C21" s="393">
        <f>'💰 P&amp;L SUMMARY'!C29</f>
        <v>-2.8977272727272727E-2</v>
      </c>
      <c r="D21" s="393">
        <f>'💰 P&amp;L SUMMARY'!D29</f>
        <v>-2.6606875934230195E-2</v>
      </c>
      <c r="E21" s="393">
        <f>'💰 P&amp;L SUMMARY'!E29</f>
        <v>-2.9649595687331536E-2</v>
      </c>
      <c r="F21" s="393">
        <f>'💰 P&amp;L SUMMARY'!F29</f>
        <v>-2.5984911986588432E-2</v>
      </c>
      <c r="G21" s="393">
        <f>'💰 P&amp;L SUMMARY'!G29</f>
        <v>-3.0338389731621937E-2</v>
      </c>
      <c r="H21" s="393">
        <f>'💰 P&amp;L SUMMARY'!H29</f>
        <v>-2.7195281782437745E-2</v>
      </c>
      <c r="I21" s="394">
        <f>IFERROR(AVERAGE(C21:H21),"-")</f>
        <v>-2.8125387974913763E-2</v>
      </c>
      <c r="J21" s="346"/>
      <c r="K21" s="346"/>
      <c r="L21" s="346"/>
      <c r="M21" s="346"/>
    </row>
    <row r="22" spans="1:13" ht="19.5" customHeight="1" x14ac:dyDescent="0.25">
      <c r="A22" s="346"/>
      <c r="B22" s="386" t="s">
        <v>378</v>
      </c>
      <c r="C22" s="395">
        <f>'💰 P&amp;L SUMMARY'!C30</f>
        <v>2.0833333333333332E-2</v>
      </c>
      <c r="D22" s="395">
        <f>'💰 P&amp;L SUMMARY'!D30</f>
        <v>2.3261961406291304E-2</v>
      </c>
      <c r="E22" s="395">
        <f>'💰 P&amp;L SUMMARY'!E30</f>
        <v>2.8110047846889953E-2</v>
      </c>
      <c r="F22" s="395">
        <f>'💰 P&amp;L SUMMARY'!F30</f>
        <v>2.3387493845396356E-2</v>
      </c>
      <c r="G22" s="395">
        <f>'💰 P&amp;L SUMMARY'!G30</f>
        <v>2.2245214692188309E-2</v>
      </c>
      <c r="H22" s="395">
        <f>'💰 P&amp;L SUMMARY'!H30</f>
        <v>2.570694087403599E-2</v>
      </c>
      <c r="I22" s="394">
        <f>IFERROR(AVERAGE(C22:H22),"-")</f>
        <v>2.3924165333022541E-2</v>
      </c>
      <c r="J22" s="346"/>
      <c r="K22" s="346"/>
      <c r="L22" s="346"/>
      <c r="M22" s="346"/>
    </row>
    <row r="23" spans="1:13" ht="19.5" customHeight="1" x14ac:dyDescent="0.25">
      <c r="A23" s="346"/>
      <c r="B23" s="396" t="s">
        <v>379</v>
      </c>
      <c r="C23" s="397">
        <f>'💰 P&amp;L SUMMARY'!C31</f>
        <v>9.8644578313253017E-2</v>
      </c>
      <c r="D23" s="397">
        <f>'💰 P&amp;L SUMMARY'!D31</f>
        <v>9.1990483743061069E-2</v>
      </c>
      <c r="E23" s="397">
        <f>'💰 P&amp;L SUMMARY'!E31</f>
        <v>8.9114832535885161E-2</v>
      </c>
      <c r="F23" s="397">
        <f>'💰 P&amp;L SUMMARY'!F31</f>
        <v>9.9704579025110776E-2</v>
      </c>
      <c r="G23" s="397">
        <f>'💰 P&amp;L SUMMARY'!G31</f>
        <v>9.6482152095188831E-2</v>
      </c>
      <c r="H23" s="397">
        <f>'💰 P&amp;L SUMMARY'!H31</f>
        <v>0.10882604970008569</v>
      </c>
      <c r="I23" s="394">
        <f>IFERROR(AVERAGE(C23:H23),"-")</f>
        <v>9.7460445902097417E-2</v>
      </c>
      <c r="J23" s="346"/>
      <c r="K23" s="346"/>
      <c r="L23" s="346"/>
      <c r="M23" s="346"/>
    </row>
    <row r="24" spans="1:13" ht="19.5" customHeight="1" x14ac:dyDescent="0.25">
      <c r="A24" s="346"/>
      <c r="B24" s="391" t="s">
        <v>380</v>
      </c>
      <c r="C24" s="392">
        <f>'🏦 CASH FLOW'!C20</f>
        <v>-118</v>
      </c>
      <c r="D24" s="392">
        <f>'🏦 CASH FLOW'!D20</f>
        <v>-75</v>
      </c>
      <c r="E24" s="392">
        <f>'🏦 CASH FLOW'!E20</f>
        <v>-87</v>
      </c>
      <c r="F24" s="392">
        <f>'🏦 CASH FLOW'!F20</f>
        <v>-91</v>
      </c>
      <c r="G24" s="392">
        <f>'🏦 CASH FLOW'!G20</f>
        <v>-114</v>
      </c>
      <c r="H24" s="392">
        <f>'🏦 CASH FLOW'!H20</f>
        <v>-73</v>
      </c>
      <c r="I24" s="388">
        <f>H24</f>
        <v>-73</v>
      </c>
      <c r="J24" s="346"/>
      <c r="K24" s="346"/>
      <c r="L24" s="346"/>
      <c r="M24" s="346"/>
    </row>
    <row r="25" spans="1:13" ht="19.5" customHeight="1" x14ac:dyDescent="0.25">
      <c r="A25" s="346"/>
      <c r="B25" s="389" t="s">
        <v>381</v>
      </c>
      <c r="C25" s="398">
        <f>'🔄 WORKING CAPITAL'!C22</f>
        <v>0.625</v>
      </c>
      <c r="D25" s="398">
        <f>'🔄 WORKING CAPITAL'!D22</f>
        <v>0.43616177636796194</v>
      </c>
      <c r="E25" s="398">
        <f>'🔄 WORKING CAPITAL'!E22</f>
        <v>0.65490430622009566</v>
      </c>
      <c r="F25" s="398">
        <f>'🔄 WORKING CAPITAL'!F22</f>
        <v>0.53914327917282123</v>
      </c>
      <c r="G25" s="398">
        <f>'🔄 WORKING CAPITAL'!G22</f>
        <v>0.51215726849456811</v>
      </c>
      <c r="H25" s="398">
        <f>'🔄 WORKING CAPITAL'!H22</f>
        <v>0.63410454155955442</v>
      </c>
      <c r="I25" s="399">
        <f>IFERROR(AVERAGE(C25:H25),"-")</f>
        <v>0.56691186196916687</v>
      </c>
      <c r="J25" s="346"/>
      <c r="K25" s="346"/>
      <c r="L25" s="346"/>
      <c r="M25" s="346"/>
    </row>
    <row r="26" spans="1:13" ht="19.5" customHeight="1" x14ac:dyDescent="0.25">
      <c r="A26" s="346"/>
      <c r="B26" s="400" t="s">
        <v>382</v>
      </c>
      <c r="C26" s="401">
        <f>'🔄 WORKING CAPITAL'!C25</f>
        <v>-8.6707746478873204</v>
      </c>
      <c r="D26" s="401">
        <f>'🔄 WORKING CAPITAL'!D25</f>
        <v>7.7694951097012925</v>
      </c>
      <c r="E26" s="401">
        <f>'🔄 WORKING CAPITAL'!E25</f>
        <v>-4.3450956937799035</v>
      </c>
      <c r="F26" s="401">
        <f>'🔄 WORKING CAPITAL'!F25</f>
        <v>-10.230087490057944</v>
      </c>
      <c r="G26" s="401">
        <f>'🔄 WORKING CAPITAL'!G25</f>
        <v>-9.1801504238131209</v>
      </c>
      <c r="H26" s="401">
        <f>'🔄 WORKING CAPITAL'!H25</f>
        <v>-0.2482483996169158</v>
      </c>
      <c r="I26" s="399">
        <f>IFERROR(AVERAGE(C26:H26),"-")</f>
        <v>-4.1508102575756523</v>
      </c>
      <c r="J26" s="346"/>
      <c r="K26" s="346"/>
      <c r="L26" s="346"/>
      <c r="M26" s="346"/>
    </row>
    <row r="27" spans="1:13" ht="19.5" customHeight="1" x14ac:dyDescent="0.25">
      <c r="A27" s="346"/>
      <c r="B27" s="402" t="s">
        <v>383</v>
      </c>
      <c r="C27" s="403">
        <f>'👥 HR &amp; HEADCOUNT'!C4</f>
        <v>47</v>
      </c>
      <c r="D27" s="403">
        <f>'👥 HR &amp; HEADCOUNT'!D4</f>
        <v>62</v>
      </c>
      <c r="E27" s="403">
        <f>'👥 HR &amp; HEADCOUNT'!E4</f>
        <v>43</v>
      </c>
      <c r="F27" s="403">
        <f>'👥 HR &amp; HEADCOUNT'!F4</f>
        <v>44</v>
      </c>
      <c r="G27" s="403">
        <f>'👥 HR &amp; HEADCOUNT'!G4</f>
        <v>43</v>
      </c>
      <c r="H27" s="403">
        <f>'👥 HR &amp; HEADCOUNT'!H4</f>
        <v>58</v>
      </c>
      <c r="I27" s="404">
        <f>H27</f>
        <v>58</v>
      </c>
      <c r="J27" s="346"/>
      <c r="K27" s="346"/>
      <c r="L27" s="346"/>
      <c r="M27" s="346"/>
    </row>
    <row r="28" spans="1:13" ht="18" customHeight="1" x14ac:dyDescent="0.25">
      <c r="A28" s="346"/>
      <c r="B28" s="346"/>
      <c r="C28" s="346"/>
      <c r="D28" s="346"/>
      <c r="E28" s="346"/>
      <c r="F28" s="346"/>
      <c r="G28" s="346"/>
      <c r="H28" s="346"/>
      <c r="I28" s="346"/>
      <c r="J28" s="346"/>
      <c r="K28" s="346"/>
      <c r="L28" s="346"/>
      <c r="M28" s="346"/>
    </row>
    <row r="29" spans="1:13" ht="18" customHeight="1" x14ac:dyDescent="0.25">
      <c r="A29" s="346"/>
      <c r="B29" s="346"/>
      <c r="C29" s="346"/>
      <c r="D29" s="346"/>
      <c r="E29" s="346"/>
      <c r="F29" s="346"/>
      <c r="G29" s="346"/>
      <c r="H29" s="346"/>
      <c r="I29" s="346"/>
      <c r="J29" s="346"/>
      <c r="K29" s="346"/>
      <c r="L29" s="346"/>
      <c r="M29" s="346"/>
    </row>
    <row r="30" spans="1:13" ht="27.75" customHeight="1" x14ac:dyDescent="0.25">
      <c r="A30" s="346"/>
      <c r="B30" s="405" t="s">
        <v>384</v>
      </c>
      <c r="C30" s="405"/>
      <c r="D30" s="405"/>
      <c r="E30" s="405"/>
      <c r="F30" s="405"/>
      <c r="G30" s="405"/>
      <c r="H30" s="405"/>
      <c r="I30" s="405"/>
      <c r="J30" s="405"/>
      <c r="K30" s="346"/>
      <c r="L30" s="346"/>
      <c r="M30" s="346"/>
    </row>
    <row r="31" spans="1:13" ht="18" customHeight="1" x14ac:dyDescent="0.25">
      <c r="A31" s="346"/>
      <c r="B31" s="346"/>
      <c r="C31" s="346"/>
      <c r="D31" s="346"/>
      <c r="E31" s="346"/>
      <c r="F31" s="346"/>
      <c r="G31" s="346"/>
      <c r="H31" s="346"/>
      <c r="I31" s="346"/>
      <c r="J31" s="346"/>
      <c r="K31" s="346"/>
      <c r="L31" s="346"/>
      <c r="M31" s="346"/>
    </row>
    <row r="32" spans="1:13" ht="18" customHeight="1" x14ac:dyDescent="0.25">
      <c r="A32" s="346"/>
      <c r="B32" s="346"/>
      <c r="C32" s="346"/>
      <c r="D32" s="346"/>
      <c r="E32" s="346"/>
      <c r="F32" s="346"/>
      <c r="G32" s="346"/>
      <c r="H32" s="346"/>
      <c r="I32" s="346"/>
      <c r="J32" s="346"/>
      <c r="K32" s="346"/>
      <c r="L32" s="346"/>
      <c r="M32" s="346"/>
    </row>
    <row r="33" spans="1:13" ht="30" customHeight="1" x14ac:dyDescent="0.25">
      <c r="A33" s="346"/>
      <c r="B33" s="406" t="s">
        <v>385</v>
      </c>
      <c r="C33" s="406"/>
      <c r="D33" s="406"/>
      <c r="E33" s="406"/>
      <c r="F33" s="406"/>
      <c r="G33" s="406"/>
      <c r="H33" s="406"/>
      <c r="I33" s="406"/>
      <c r="J33" s="406"/>
      <c r="K33" s="346"/>
      <c r="L33" s="346"/>
      <c r="M33" s="346"/>
    </row>
    <row r="34" spans="1:13" ht="3.75" customHeight="1" x14ac:dyDescent="0.25">
      <c r="A34" s="346"/>
      <c r="B34" s="351"/>
      <c r="C34" s="351"/>
      <c r="D34" s="351"/>
      <c r="E34" s="351"/>
      <c r="F34" s="351"/>
      <c r="G34" s="351"/>
      <c r="H34" s="351"/>
      <c r="I34" s="351"/>
      <c r="J34" s="351"/>
      <c r="K34" s="346"/>
      <c r="L34" s="346"/>
      <c r="M34" s="346"/>
    </row>
    <row r="35" spans="1:13" ht="25.5" customHeight="1" x14ac:dyDescent="0.25">
      <c r="A35" s="346"/>
      <c r="B35" s="407" t="s">
        <v>312</v>
      </c>
      <c r="C35" s="407" t="s">
        <v>386</v>
      </c>
      <c r="D35" s="407" t="s">
        <v>387</v>
      </c>
      <c r="E35" s="407" t="s">
        <v>388</v>
      </c>
      <c r="F35" s="407" t="s">
        <v>389</v>
      </c>
      <c r="G35" s="407" t="s">
        <v>317</v>
      </c>
      <c r="H35" s="407" t="s">
        <v>390</v>
      </c>
      <c r="I35" s="346"/>
      <c r="J35" s="346"/>
      <c r="K35" s="346"/>
      <c r="L35" s="346"/>
      <c r="M35" s="346"/>
    </row>
    <row r="36" spans="1:13" ht="21.75" customHeight="1" x14ac:dyDescent="0.25">
      <c r="A36" s="346"/>
      <c r="B36" s="386" t="s">
        <v>391</v>
      </c>
      <c r="C36" s="387">
        <f>IFERROR(INDEX('📥 RAW DATA INPUT'!$C$23:$N$23,1,'📋 BUDGET'!$Q$5),"-")</f>
        <v>5714</v>
      </c>
      <c r="D36" s="408">
        <f>'📋 BUDGET'!P16</f>
        <v>473</v>
      </c>
      <c r="E36" s="409">
        <f t="shared" ref="E36:E49" si="1">IFERROR(C36-D36,"-")</f>
        <v>5241</v>
      </c>
      <c r="F36" s="410">
        <f t="shared" ref="F36:F49" si="2">IFERROR((C36-D36)/ABS(D36),"-")</f>
        <v>11.080338266384778</v>
      </c>
      <c r="G36" s="411" t="str">
        <f t="shared" ref="G36:G44" si="3">IF(F36="-","—",IF(F36&gt;=0,"✅ On Track",IF(F36&gt;=-0.05,"⚠ -5% Near","🔴 Below Budget")))</f>
        <v>✅ On Track</v>
      </c>
      <c r="H36" s="346"/>
      <c r="I36" s="346"/>
      <c r="J36" s="346"/>
      <c r="K36" s="346"/>
      <c r="L36" s="346"/>
      <c r="M36" s="346"/>
    </row>
    <row r="37" spans="1:13" ht="21.75" customHeight="1" x14ac:dyDescent="0.25">
      <c r="A37" s="346"/>
      <c r="B37" s="386" t="s">
        <v>278</v>
      </c>
      <c r="C37" s="387">
        <f>IFERROR(INDEX('💰 P&amp;L SUMMARY'!$C$8:$N$8,1,'📋 BUDGET'!$Q$5),"-")</f>
        <v>5642</v>
      </c>
      <c r="D37" s="408">
        <f>'📋 BUDGET'!P33</f>
        <v>0.84778012684989434</v>
      </c>
      <c r="E37" s="409">
        <f t="shared" si="1"/>
        <v>5641.15221987315</v>
      </c>
      <c r="F37" s="410">
        <f t="shared" si="2"/>
        <v>6654.0274314214457</v>
      </c>
      <c r="G37" s="411" t="str">
        <f t="shared" si="3"/>
        <v>✅ On Track</v>
      </c>
      <c r="H37" s="346"/>
      <c r="I37" s="346"/>
      <c r="J37" s="346"/>
      <c r="K37" s="346"/>
      <c r="L37" s="346"/>
      <c r="M37" s="346"/>
    </row>
    <row r="38" spans="1:13" ht="21.75" customHeight="1" x14ac:dyDescent="0.25">
      <c r="A38" s="346"/>
      <c r="B38" s="389" t="s">
        <v>184</v>
      </c>
      <c r="C38" s="390">
        <f>IFERROR(INDEX('💰 P&amp;L SUMMARY'!$C$17:$N$17,1,'📋 BUDGET'!$Q$5),"-")</f>
        <v>5256</v>
      </c>
      <c r="D38" s="412">
        <f>'📋 BUDGET'!P36</f>
        <v>-0.11839323467230443</v>
      </c>
      <c r="E38" s="413">
        <f t="shared" si="1"/>
        <v>5256.1183932346721</v>
      </c>
      <c r="F38" s="414">
        <f t="shared" si="2"/>
        <v>44395.428571428572</v>
      </c>
      <c r="G38" s="415" t="str">
        <f t="shared" si="3"/>
        <v>✅ On Track</v>
      </c>
      <c r="H38" s="346"/>
      <c r="I38" s="346"/>
      <c r="J38" s="346"/>
      <c r="K38" s="346"/>
      <c r="L38" s="346"/>
      <c r="M38" s="346"/>
    </row>
    <row r="39" spans="1:13" ht="21.75" customHeight="1" x14ac:dyDescent="0.25">
      <c r="A39" s="346"/>
      <c r="B39" s="389" t="s">
        <v>283</v>
      </c>
      <c r="C39" s="393">
        <f>IFERROR(INDEX('💰 P&amp;L SUMMARY'!$C$18:$N$18,1,'📋 BUDGET'!$Q$5),"-")</f>
        <v>0.91984599229961495</v>
      </c>
      <c r="D39" s="416">
        <f>IFERROR(INDEX('📋 BUDGET'!$P$58:$P$85,MATCH("EBITDAM",'📋 BUDGET'!$A$58:$A$85,0)),0)</f>
        <v>-0.11839323467230443</v>
      </c>
      <c r="E39" s="417">
        <f t="shared" si="1"/>
        <v>1.0382392269719194</v>
      </c>
      <c r="F39" s="414">
        <f t="shared" si="2"/>
        <v>8.7694134706735341</v>
      </c>
      <c r="G39" s="415" t="str">
        <f t="shared" si="3"/>
        <v>✅ On Track</v>
      </c>
      <c r="H39" s="346"/>
      <c r="I39" s="346"/>
      <c r="J39" s="346"/>
      <c r="K39" s="346"/>
      <c r="L39" s="346"/>
      <c r="M39" s="346"/>
    </row>
    <row r="40" spans="1:13" ht="21.75" customHeight="1" x14ac:dyDescent="0.25">
      <c r="A40" s="346"/>
      <c r="B40" s="389" t="s">
        <v>392</v>
      </c>
      <c r="C40" s="390">
        <f>IFERROR(INDEX('💰 P&amp;L SUMMARY'!$C$24:$N$24,1,'📋 BUDGET'!$Q$5),"-")</f>
        <v>3839.25</v>
      </c>
      <c r="D40" s="412">
        <f>'📋 BUDGET'!P38</f>
        <v>-0.21564482029598309</v>
      </c>
      <c r="E40" s="413">
        <f t="shared" si="1"/>
        <v>3839.4656448202959</v>
      </c>
      <c r="F40" s="414">
        <f t="shared" si="2"/>
        <v>17804.580882352941</v>
      </c>
      <c r="G40" s="415" t="str">
        <f t="shared" si="3"/>
        <v>✅ On Track</v>
      </c>
      <c r="H40" s="346"/>
      <c r="I40" s="346"/>
      <c r="J40" s="346"/>
      <c r="K40" s="346"/>
      <c r="L40" s="346"/>
      <c r="M40" s="346"/>
    </row>
    <row r="41" spans="1:13" ht="21.75" customHeight="1" x14ac:dyDescent="0.25">
      <c r="A41" s="346"/>
      <c r="B41" s="391" t="s">
        <v>393</v>
      </c>
      <c r="C41" s="392">
        <f>IFERROR(INDEX('💰 P&amp;L SUMMARY'!$C$27:$N$27,1,'📋 BUDGET'!$Q$5),"-")</f>
        <v>-96</v>
      </c>
      <c r="D41" s="418">
        <f>'📋 BUDGET'!P51</f>
        <v>-48</v>
      </c>
      <c r="E41" s="419">
        <f t="shared" si="1"/>
        <v>-48</v>
      </c>
      <c r="F41" s="420">
        <f t="shared" si="2"/>
        <v>-1</v>
      </c>
      <c r="G41" s="421" t="str">
        <f t="shared" si="3"/>
        <v>🔴 Below Budget</v>
      </c>
      <c r="H41" s="346"/>
      <c r="I41" s="346"/>
      <c r="J41" s="346"/>
      <c r="K41" s="346"/>
      <c r="L41" s="346"/>
      <c r="M41" s="346"/>
    </row>
    <row r="42" spans="1:13" ht="21.75" customHeight="1" x14ac:dyDescent="0.25">
      <c r="A42" s="346"/>
      <c r="B42" s="391" t="s">
        <v>394</v>
      </c>
      <c r="C42" s="392">
        <f>IFERROR(INDEX('💰 P&amp;L SUMMARY'!$C$28:$N$28,1,'📋 BUDGET'!$Q$5),"-")</f>
        <v>-194</v>
      </c>
      <c r="D42" s="418">
        <f>'📋 BUDGET'!P52</f>
        <v>-85</v>
      </c>
      <c r="E42" s="419">
        <f t="shared" si="1"/>
        <v>-109</v>
      </c>
      <c r="F42" s="420">
        <f t="shared" si="2"/>
        <v>-1.2823529411764707</v>
      </c>
      <c r="G42" s="421" t="str">
        <f t="shared" si="3"/>
        <v>🔴 Below Budget</v>
      </c>
      <c r="H42" s="346"/>
      <c r="I42" s="346"/>
      <c r="J42" s="346"/>
      <c r="K42" s="346"/>
      <c r="L42" s="346"/>
      <c r="M42" s="346"/>
    </row>
    <row r="43" spans="1:13" ht="21.75" customHeight="1" x14ac:dyDescent="0.25">
      <c r="A43" s="346"/>
      <c r="B43" s="389" t="s">
        <v>395</v>
      </c>
      <c r="C43" s="393">
        <f>IFERROR(INDEX('💰 P&amp;L SUMMARY'!$C$29:$N$29,1,'📋 BUDGET'!$Q$5),"-")</f>
        <v>-1.8264840182648401E-2</v>
      </c>
      <c r="D43" s="416">
        <f>IFERROR(INDEX('📋 BUDGET'!$P$58:$P$85,MATCH("EBITDA_CONV",'📋 BUDGET'!$A$58:$A$85,0)),0)</f>
        <v>0.8571428571428571</v>
      </c>
      <c r="E43" s="417">
        <f t="shared" si="1"/>
        <v>-0.8754076973255055</v>
      </c>
      <c r="F43" s="414">
        <f t="shared" si="2"/>
        <v>-1.0213089802130899</v>
      </c>
      <c r="G43" s="415" t="str">
        <f t="shared" si="3"/>
        <v>🔴 Below Budget</v>
      </c>
      <c r="H43" s="347"/>
      <c r="I43" s="347"/>
      <c r="J43" s="346"/>
      <c r="K43" s="346"/>
      <c r="L43" s="346"/>
      <c r="M43" s="346"/>
    </row>
    <row r="44" spans="1:13" ht="21.75" customHeight="1" x14ac:dyDescent="0.25">
      <c r="A44" s="346"/>
      <c r="B44" s="422" t="s">
        <v>378</v>
      </c>
      <c r="C44" s="395">
        <f>IFERROR(INDEX('💰 P&amp;L SUMMARY'!$C$30:$N$30,1,'📋 BUDGET'!$Q$5),"-")</f>
        <v>1.3650682534126707E-2</v>
      </c>
      <c r="D44" s="423">
        <f>IFERROR(INDEX('📋 BUDGET'!$P$58:$P$85,MATCH("COLL_EFF",'📋 BUDGET'!$A$58:$A$85,0)),0)</f>
        <v>9.5137420718816063E-2</v>
      </c>
      <c r="E44" s="424">
        <f t="shared" si="1"/>
        <v>-8.148673818468935E-2</v>
      </c>
      <c r="F44" s="410">
        <f t="shared" si="2"/>
        <v>-0.85651615914129031</v>
      </c>
      <c r="G44" s="425" t="str">
        <f t="shared" si="3"/>
        <v>🔴 Below Budget</v>
      </c>
      <c r="H44" s="426"/>
      <c r="I44" s="427"/>
      <c r="J44" s="346"/>
      <c r="K44" s="346"/>
      <c r="L44" s="346"/>
      <c r="M44" s="346"/>
    </row>
    <row r="45" spans="1:13" ht="21.75" customHeight="1" x14ac:dyDescent="0.25">
      <c r="A45" s="346"/>
      <c r="B45" s="396" t="s">
        <v>396</v>
      </c>
      <c r="C45" s="397">
        <f>IFERROR(INDEX('💰 P&amp;L SUMMARY'!$C$31:$N$31,1,'📋 BUDGET'!$Q$5),"-")</f>
        <v>6.7553377668883446E-2</v>
      </c>
      <c r="D45" s="428">
        <f>IFERROR(INDEX('📋 BUDGET'!$P$58:$P$85,MATCH("OPEX_R",'📋 BUDGET'!$A$58:$A$85,0)),0)</f>
        <v>0.96617336152219868</v>
      </c>
      <c r="E45" s="429">
        <f t="shared" si="1"/>
        <v>-0.89861998385331521</v>
      </c>
      <c r="F45" s="430">
        <f t="shared" si="2"/>
        <v>-0.9300815150166698</v>
      </c>
      <c r="G45" s="431" t="str">
        <f>IF(F45="-","—",IF(F45&lt;=0,"✅ On Track",IF(F45&lt;=0.05,"⚠ +5% Near","🔴 Over Budget")))</f>
        <v>✅ On Track</v>
      </c>
      <c r="H45" s="346"/>
      <c r="I45" s="346"/>
      <c r="J45" s="346"/>
      <c r="K45" s="346"/>
      <c r="L45" s="346"/>
      <c r="M45" s="346"/>
    </row>
    <row r="46" spans="1:13" ht="21.75" customHeight="1" x14ac:dyDescent="0.25">
      <c r="A46" s="346"/>
      <c r="B46" s="389" t="s">
        <v>381</v>
      </c>
      <c r="C46" s="398">
        <f>IFERROR(INDEX('🔄 WORKING CAPITAL'!$C$22:$N$22,1,'📋 BUDGET'!$Q$5),"-")</f>
        <v>0.42527126356317813</v>
      </c>
      <c r="D46" s="432">
        <f>IFERROR(INDEX('📋 BUDGET'!$P$58:$P$85,MATCH("DSO",'📋 BUDGET'!$A$58:$A$85,0)),0)</f>
        <v>30</v>
      </c>
      <c r="E46" s="433">
        <f t="shared" si="1"/>
        <v>-29.574728736436821</v>
      </c>
      <c r="F46" s="414">
        <f t="shared" si="2"/>
        <v>-0.98582429121456072</v>
      </c>
      <c r="G46" s="415" t="str">
        <f>IF(F46="-","—",IF(F46&lt;=0,"✅ On Track",IF(F46&lt;=0.05,"⚠ +5% Near","🔴 Over Budget")))</f>
        <v>✅ On Track</v>
      </c>
      <c r="H46" s="346"/>
      <c r="I46" s="346"/>
      <c r="J46" s="346"/>
      <c r="K46" s="346"/>
      <c r="L46" s="346"/>
      <c r="M46" s="346"/>
    </row>
    <row r="47" spans="1:13" ht="21.75" customHeight="1" x14ac:dyDescent="0.25">
      <c r="A47" s="346"/>
      <c r="B47" s="400" t="s">
        <v>382</v>
      </c>
      <c r="C47" s="401">
        <f>IFERROR(INDEX('🔄 WORKING CAPITAL'!$C$25:$N$25,1,'📋 BUDGET'!$Q$5),"-")</f>
        <v>7.0919379302298466</v>
      </c>
      <c r="D47" s="434">
        <f>IFERROR(INDEX('📋 BUDGET'!$P$58:$P$85,MATCH("CCC",'📋 BUDGET'!$A$58:$A$85,0)),0)</f>
        <v>20</v>
      </c>
      <c r="E47" s="435">
        <f t="shared" si="1"/>
        <v>-12.908062069770153</v>
      </c>
      <c r="F47" s="436">
        <f t="shared" si="2"/>
        <v>-0.64540310348850771</v>
      </c>
      <c r="G47" s="437" t="str">
        <f>IF(F47="-","—",IF(F47&lt;=0,"✅ On Track",IF(F47&lt;=0.05,"⚠ +5% Near","🔴 Over Budget")))</f>
        <v>✅ On Track</v>
      </c>
      <c r="H47" s="346"/>
      <c r="I47" s="346"/>
      <c r="J47" s="346"/>
      <c r="K47" s="346"/>
      <c r="L47" s="346"/>
      <c r="M47" s="346"/>
    </row>
    <row r="48" spans="1:13" ht="21.75" customHeight="1" x14ac:dyDescent="0.25">
      <c r="A48" s="346"/>
      <c r="B48" s="400" t="s">
        <v>397</v>
      </c>
      <c r="C48" s="438">
        <f>IFERROR(INDEX('🔄 WORKING CAPITAL'!$C$38:$N$38,1,'📋 BUDGET'!$Q$5),"-")</f>
        <v>1.4130434782608696</v>
      </c>
      <c r="D48" s="439">
        <f>IFERROR(INDEX('📋 BUDGET'!$P$58:$P$85,MATCH("CHURN",'📋 BUDGET'!$A$58:$A$85,0)),0)</f>
        <v>0.02</v>
      </c>
      <c r="E48" s="440">
        <f t="shared" si="1"/>
        <v>1.3930434782608696</v>
      </c>
      <c r="F48" s="436">
        <f t="shared" si="2"/>
        <v>69.652173913043484</v>
      </c>
      <c r="G48" s="437" t="str">
        <f>IF(F48="-","—",IF(F48&lt;=0,"✅ On Track",IF(F48&lt;=0.05,"⚠ +5% Near","🔴 Over Budget")))</f>
        <v>🔴 Over Budget</v>
      </c>
      <c r="H48" s="346"/>
      <c r="I48" s="346"/>
      <c r="J48" s="346"/>
      <c r="K48" s="346"/>
      <c r="L48" s="346"/>
      <c r="M48" s="346"/>
    </row>
    <row r="49" spans="1:13" ht="21.75" customHeight="1" x14ac:dyDescent="0.25">
      <c r="A49" s="346"/>
      <c r="B49" s="386" t="s">
        <v>242</v>
      </c>
      <c r="C49" s="441">
        <f>IFERROR(INDEX('🔄 WORKING CAPITAL'!$C$42:$N$42,1,'📋 BUDGET'!$Q$5),"-")</f>
        <v>74530.434782608689</v>
      </c>
      <c r="D49" s="442">
        <f>IFERROR(INDEX('📋 BUDGET'!$P$58:$P$85,MATCH("LTV_CAC",'📋 BUDGET'!$A$58:$A$85,0)),0)</f>
        <v>3</v>
      </c>
      <c r="E49" s="443">
        <f t="shared" si="1"/>
        <v>74527.434782608689</v>
      </c>
      <c r="F49" s="410">
        <f t="shared" si="2"/>
        <v>24842.478260869564</v>
      </c>
      <c r="G49" s="411" t="str">
        <f>IF(F49="-","—",IF(F49&gt;=0,"✅ On Track",IF(F49&gt;=-0.05,"⚠ -5% Near","🔴 Below Budget")))</f>
        <v>✅ On Track</v>
      </c>
      <c r="H49" s="346"/>
      <c r="I49" s="346"/>
      <c r="J49" s="346"/>
      <c r="K49" s="346"/>
      <c r="L49" s="346"/>
      <c r="M49" s="346"/>
    </row>
    <row r="50" spans="1:13" ht="18" customHeight="1" x14ac:dyDescent="0.25">
      <c r="A50" s="346"/>
      <c r="B50" s="346"/>
      <c r="C50" s="346"/>
      <c r="D50" s="346"/>
      <c r="E50" s="346"/>
      <c r="F50" s="346"/>
      <c r="G50" s="346"/>
      <c r="H50" s="346"/>
      <c r="I50" s="346"/>
      <c r="J50" s="346"/>
      <c r="K50" s="346"/>
      <c r="L50" s="346"/>
      <c r="M50" s="346"/>
    </row>
    <row r="51" spans="1:13" ht="18" customHeight="1" x14ac:dyDescent="0.25">
      <c r="A51" s="346"/>
      <c r="B51" s="346"/>
      <c r="C51" s="346"/>
      <c r="D51" s="346"/>
      <c r="E51" s="346"/>
      <c r="F51" s="346"/>
      <c r="G51" s="346"/>
      <c r="H51" s="346"/>
      <c r="I51" s="346"/>
      <c r="J51" s="346"/>
      <c r="K51" s="346"/>
      <c r="L51" s="346"/>
      <c r="M51" s="346"/>
    </row>
    <row r="52" spans="1:13" ht="25.5" customHeight="1" x14ac:dyDescent="0.25">
      <c r="A52" s="346"/>
      <c r="B52" s="405" t="s">
        <v>398</v>
      </c>
      <c r="C52" s="405"/>
      <c r="D52" s="405"/>
      <c r="E52" s="405"/>
      <c r="F52" s="405"/>
      <c r="G52" s="405"/>
      <c r="H52" s="405"/>
      <c r="I52" s="405"/>
      <c r="J52" s="405"/>
      <c r="K52" s="346"/>
      <c r="L52" s="346"/>
      <c r="M52" s="346"/>
    </row>
    <row r="53" spans="1:13" ht="21.75" customHeight="1" x14ac:dyDescent="0.25">
      <c r="A53" s="346"/>
      <c r="B53" s="444"/>
      <c r="C53" s="444" t="s">
        <v>62</v>
      </c>
      <c r="D53" s="444" t="s">
        <v>63</v>
      </c>
      <c r="E53" s="444" t="s">
        <v>64</v>
      </c>
      <c r="F53" s="444" t="s">
        <v>65</v>
      </c>
      <c r="G53" s="444" t="s">
        <v>66</v>
      </c>
      <c r="H53" s="444" t="s">
        <v>67</v>
      </c>
      <c r="I53" s="346"/>
      <c r="J53" s="346"/>
      <c r="K53" s="346"/>
      <c r="L53" s="346"/>
      <c r="M53" s="346"/>
    </row>
    <row r="54" spans="1:13" ht="18" customHeight="1" x14ac:dyDescent="0.25">
      <c r="A54" s="346"/>
      <c r="B54" s="445" t="s">
        <v>399</v>
      </c>
      <c r="C54" s="446">
        <f>'📥 RAW DATA INPUT'!C23</f>
        <v>3984</v>
      </c>
      <c r="D54" s="446">
        <f>'📥 RAW DATA INPUT'!D23</f>
        <v>3783</v>
      </c>
      <c r="E54" s="446">
        <f>'📥 RAW DATA INPUT'!E23</f>
        <v>3344</v>
      </c>
      <c r="F54" s="446">
        <f>'📥 RAW DATA INPUT'!F23</f>
        <v>4062</v>
      </c>
      <c r="G54" s="446">
        <f>'📥 RAW DATA INPUT'!G23</f>
        <v>3866</v>
      </c>
      <c r="H54" s="446">
        <f>'📥 RAW DATA INPUT'!H23</f>
        <v>3501</v>
      </c>
      <c r="I54" s="346"/>
      <c r="J54" s="346"/>
      <c r="K54" s="346"/>
      <c r="L54" s="346"/>
      <c r="M54" s="346"/>
    </row>
    <row r="55" spans="1:13" ht="18" customHeight="1" x14ac:dyDescent="0.25">
      <c r="A55" s="346"/>
      <c r="B55" s="447" t="s">
        <v>400</v>
      </c>
      <c r="C55" s="448">
        <f>'📋 BUDGET'!C16</f>
        <v>484</v>
      </c>
      <c r="D55" s="448">
        <f>'📋 BUDGET'!D16</f>
        <v>525</v>
      </c>
      <c r="E55" s="448">
        <f>'📋 BUDGET'!E16</f>
        <v>467</v>
      </c>
      <c r="F55" s="448">
        <f>'📋 BUDGET'!F16</f>
        <v>508</v>
      </c>
      <c r="G55" s="448">
        <f>'📋 BUDGET'!G16</f>
        <v>489</v>
      </c>
      <c r="H55" s="448">
        <f>'📋 BUDGET'!H16</f>
        <v>520</v>
      </c>
      <c r="I55" s="346"/>
      <c r="J55" s="346"/>
      <c r="K55" s="346"/>
      <c r="L55" s="346"/>
      <c r="M55" s="346"/>
    </row>
    <row r="56" spans="1:13" ht="18" customHeight="1" x14ac:dyDescent="0.25">
      <c r="A56" s="346"/>
      <c r="B56" s="449" t="s">
        <v>401</v>
      </c>
      <c r="C56" s="450">
        <f>'💰 P&amp;L SUMMARY'!C17</f>
        <v>3520</v>
      </c>
      <c r="D56" s="450">
        <f>'💰 P&amp;L SUMMARY'!D17</f>
        <v>3345</v>
      </c>
      <c r="E56" s="450">
        <f>'💰 P&amp;L SUMMARY'!E17</f>
        <v>2968</v>
      </c>
      <c r="F56" s="450">
        <f>'💰 P&amp;L SUMMARY'!F17</f>
        <v>3579</v>
      </c>
      <c r="G56" s="450">
        <f>'💰 P&amp;L SUMMARY'!G17</f>
        <v>3428</v>
      </c>
      <c r="H56" s="450">
        <f>'💰 P&amp;L SUMMARY'!H17</f>
        <v>3052</v>
      </c>
      <c r="I56" s="346"/>
      <c r="J56" s="346"/>
      <c r="K56" s="346"/>
      <c r="L56" s="346"/>
      <c r="M56" s="346"/>
    </row>
    <row r="57" spans="1:13" ht="18" customHeight="1" x14ac:dyDescent="0.25">
      <c r="A57" s="346"/>
      <c r="B57" s="451" t="s">
        <v>157</v>
      </c>
      <c r="C57" s="452">
        <f>'📋 BUDGET'!C36</f>
        <v>-0.13429752066115702</v>
      </c>
      <c r="D57" s="452">
        <f>'📋 BUDGET'!D36</f>
        <v>0.16380952380952382</v>
      </c>
      <c r="E57" s="452">
        <f>'📋 BUDGET'!E36</f>
        <v>-0.13704496788008566</v>
      </c>
      <c r="F57" s="452">
        <f>'📋 BUDGET'!F36</f>
        <v>-0.12007874015748031</v>
      </c>
      <c r="G57" s="452">
        <f>'📋 BUDGET'!G36</f>
        <v>-0.11042944785276074</v>
      </c>
      <c r="H57" s="452">
        <f>'📋 BUDGET'!H36</f>
        <v>3.8461538461538464E-3</v>
      </c>
      <c r="I57" s="346"/>
      <c r="J57" s="346"/>
      <c r="K57" s="346"/>
      <c r="L57" s="346"/>
      <c r="M57" s="346"/>
    </row>
    <row r="58" spans="1:13" ht="18" customHeight="1" x14ac:dyDescent="0.25">
      <c r="A58" s="346"/>
      <c r="B58" s="346"/>
      <c r="C58" s="346"/>
      <c r="D58" s="346"/>
      <c r="E58" s="346"/>
      <c r="F58" s="346"/>
      <c r="G58" s="346"/>
      <c r="H58" s="346"/>
      <c r="I58" s="346"/>
      <c r="J58" s="346"/>
      <c r="K58" s="346"/>
      <c r="L58" s="346"/>
      <c r="M58" s="346"/>
    </row>
    <row r="59" spans="1:13" ht="18" customHeight="1" x14ac:dyDescent="0.25">
      <c r="A59" s="346"/>
      <c r="B59" s="346"/>
      <c r="C59" s="346"/>
      <c r="D59" s="346"/>
      <c r="E59" s="346"/>
      <c r="F59" s="346"/>
      <c r="G59" s="346"/>
      <c r="H59" s="346"/>
      <c r="I59" s="346"/>
      <c r="J59" s="346"/>
      <c r="K59" s="346"/>
      <c r="L59" s="346"/>
      <c r="M59" s="346"/>
    </row>
    <row r="60" spans="1:13" ht="18" customHeight="1" x14ac:dyDescent="0.25">
      <c r="A60" s="346"/>
      <c r="B60" s="346"/>
      <c r="C60" s="346"/>
      <c r="D60" s="346"/>
      <c r="E60" s="346"/>
      <c r="F60" s="346"/>
      <c r="G60" s="346"/>
      <c r="H60" s="346"/>
      <c r="I60" s="346"/>
      <c r="J60" s="346"/>
      <c r="K60" s="346"/>
      <c r="L60" s="346"/>
      <c r="M60" s="346"/>
    </row>
    <row r="61" spans="1:13" ht="18" customHeight="1" x14ac:dyDescent="0.25">
      <c r="A61" s="346"/>
      <c r="B61" s="346"/>
      <c r="C61" s="346"/>
      <c r="D61" s="346"/>
      <c r="E61" s="346"/>
      <c r="F61" s="346"/>
      <c r="G61" s="346"/>
      <c r="H61" s="346"/>
      <c r="I61" s="346"/>
      <c r="J61" s="346"/>
      <c r="K61" s="346"/>
      <c r="L61" s="346"/>
      <c r="M61" s="346"/>
    </row>
    <row r="62" spans="1:13" ht="18" customHeight="1" x14ac:dyDescent="0.25">
      <c r="A62" s="346"/>
      <c r="B62" s="346"/>
      <c r="C62" s="346"/>
      <c r="D62" s="346"/>
      <c r="E62" s="346"/>
      <c r="F62" s="346"/>
      <c r="G62" s="346"/>
      <c r="H62" s="346"/>
      <c r="I62" s="346"/>
      <c r="J62" s="346"/>
      <c r="K62" s="346"/>
      <c r="L62" s="346"/>
      <c r="M62" s="346"/>
    </row>
    <row r="63" spans="1:13" ht="18" customHeight="1" x14ac:dyDescent="0.25">
      <c r="A63" s="346"/>
      <c r="B63" s="346"/>
      <c r="C63" s="346"/>
      <c r="D63" s="346"/>
      <c r="E63" s="346"/>
      <c r="F63" s="346"/>
      <c r="G63" s="346"/>
      <c r="H63" s="346"/>
      <c r="I63" s="346"/>
      <c r="J63" s="346"/>
      <c r="K63" s="346"/>
      <c r="L63" s="346"/>
      <c r="M63" s="346"/>
    </row>
    <row r="64" spans="1:13" ht="18" customHeight="1" x14ac:dyDescent="0.25">
      <c r="A64" s="346"/>
      <c r="B64" s="346"/>
      <c r="C64" s="346"/>
      <c r="D64" s="346"/>
      <c r="E64" s="346"/>
      <c r="F64" s="346"/>
      <c r="G64" s="346"/>
      <c r="H64" s="346"/>
      <c r="I64" s="346"/>
      <c r="J64" s="346"/>
      <c r="K64" s="346"/>
      <c r="L64" s="346"/>
      <c r="M64" s="346"/>
    </row>
    <row r="65" spans="1:13" ht="18" customHeight="1" x14ac:dyDescent="0.25">
      <c r="A65" s="346"/>
      <c r="B65" s="346"/>
      <c r="C65" s="346"/>
      <c r="D65" s="346"/>
      <c r="E65" s="346"/>
      <c r="F65" s="346"/>
      <c r="G65" s="346"/>
      <c r="H65" s="346"/>
      <c r="I65" s="346"/>
      <c r="J65" s="346"/>
      <c r="K65" s="346"/>
      <c r="L65" s="346"/>
      <c r="M65" s="346"/>
    </row>
    <row r="66" spans="1:13" ht="18" customHeight="1" x14ac:dyDescent="0.25">
      <c r="A66" s="346"/>
      <c r="B66" s="346"/>
      <c r="C66" s="346"/>
      <c r="D66" s="346"/>
      <c r="E66" s="346"/>
      <c r="F66" s="346"/>
      <c r="G66" s="346"/>
      <c r="H66" s="346"/>
      <c r="I66" s="346"/>
      <c r="J66" s="346"/>
      <c r="K66" s="346"/>
      <c r="L66" s="346"/>
      <c r="M66" s="346"/>
    </row>
    <row r="67" spans="1:13" ht="18" customHeight="1" x14ac:dyDescent="0.25">
      <c r="A67" s="346"/>
      <c r="B67" s="346"/>
      <c r="C67" s="346"/>
      <c r="D67" s="346"/>
      <c r="E67" s="346"/>
      <c r="F67" s="346"/>
      <c r="G67" s="346"/>
      <c r="H67" s="346"/>
      <c r="I67" s="346"/>
      <c r="J67" s="346"/>
      <c r="K67" s="346"/>
      <c r="L67" s="346"/>
      <c r="M67" s="346"/>
    </row>
    <row r="68" spans="1:13" ht="18" customHeight="1" x14ac:dyDescent="0.25">
      <c r="A68" s="346"/>
      <c r="B68" s="346"/>
      <c r="C68" s="346"/>
      <c r="D68" s="346"/>
      <c r="E68" s="346"/>
      <c r="F68" s="346"/>
      <c r="G68" s="346"/>
      <c r="H68" s="346"/>
      <c r="I68" s="346"/>
      <c r="J68" s="346"/>
      <c r="K68" s="346"/>
      <c r="L68" s="346"/>
      <c r="M68" s="346"/>
    </row>
    <row r="69" spans="1:13" ht="18" customHeight="1" x14ac:dyDescent="0.25">
      <c r="A69" s="346"/>
      <c r="B69" s="346"/>
      <c r="C69" s="346"/>
      <c r="D69" s="346"/>
      <c r="E69" s="346"/>
      <c r="F69" s="346"/>
      <c r="G69" s="346"/>
      <c r="H69" s="346"/>
      <c r="I69" s="346"/>
      <c r="J69" s="346"/>
      <c r="K69" s="346"/>
      <c r="L69" s="346"/>
      <c r="M69" s="346"/>
    </row>
    <row r="70" spans="1:13" ht="18" customHeight="1" x14ac:dyDescent="0.25">
      <c r="A70" s="346"/>
      <c r="B70" s="346"/>
      <c r="C70" s="346"/>
      <c r="D70" s="346"/>
      <c r="E70" s="346"/>
      <c r="F70" s="346"/>
      <c r="G70" s="346"/>
      <c r="H70" s="346"/>
      <c r="I70" s="346"/>
      <c r="J70" s="346"/>
      <c r="K70" s="346"/>
      <c r="L70" s="346"/>
      <c r="M70" s="346"/>
    </row>
    <row r="71" spans="1:13" ht="18" customHeight="1" x14ac:dyDescent="0.25">
      <c r="A71" s="346"/>
      <c r="B71" s="346"/>
      <c r="C71" s="346"/>
      <c r="D71" s="346"/>
      <c r="E71" s="346"/>
      <c r="F71" s="346"/>
      <c r="G71" s="346"/>
      <c r="H71" s="346"/>
      <c r="I71" s="346"/>
      <c r="J71" s="346"/>
      <c r="K71" s="346"/>
      <c r="L71" s="346"/>
      <c r="M71" s="346"/>
    </row>
    <row r="72" spans="1:13" ht="18" customHeight="1" x14ac:dyDescent="0.25">
      <c r="A72" s="346"/>
      <c r="B72" s="346"/>
      <c r="C72" s="346"/>
      <c r="D72" s="346"/>
      <c r="E72" s="346"/>
      <c r="F72" s="346"/>
      <c r="G72" s="346"/>
      <c r="H72" s="346"/>
      <c r="I72" s="346"/>
      <c r="J72" s="346"/>
      <c r="K72" s="346"/>
      <c r="L72" s="346"/>
      <c r="M72" s="346"/>
    </row>
    <row r="73" spans="1:13" ht="18" customHeight="1" x14ac:dyDescent="0.25">
      <c r="A73" s="346"/>
      <c r="B73" s="346"/>
      <c r="C73" s="346"/>
      <c r="D73" s="346"/>
      <c r="E73" s="346"/>
      <c r="F73" s="346"/>
      <c r="G73" s="346"/>
      <c r="H73" s="346"/>
      <c r="I73" s="346"/>
      <c r="J73" s="346"/>
      <c r="K73" s="346"/>
      <c r="L73" s="346"/>
      <c r="M73" s="346"/>
    </row>
    <row r="74" spans="1:13" ht="18" customHeight="1" x14ac:dyDescent="0.25">
      <c r="A74" s="346"/>
      <c r="B74" s="346"/>
      <c r="C74" s="346"/>
      <c r="D74" s="346"/>
      <c r="E74" s="346"/>
      <c r="F74" s="346"/>
      <c r="G74" s="346"/>
      <c r="H74" s="346"/>
      <c r="I74" s="346"/>
      <c r="J74" s="346"/>
      <c r="K74" s="346"/>
      <c r="L74" s="346"/>
      <c r="M74" s="346"/>
    </row>
    <row r="75" spans="1:13" ht="18" customHeight="1" x14ac:dyDescent="0.25">
      <c r="A75" s="346"/>
      <c r="B75" s="346"/>
      <c r="C75" s="346"/>
      <c r="D75" s="346"/>
      <c r="E75" s="346"/>
      <c r="F75" s="346"/>
      <c r="G75" s="346"/>
      <c r="H75" s="346"/>
      <c r="I75" s="346"/>
      <c r="J75" s="346"/>
      <c r="K75" s="346"/>
      <c r="L75" s="346"/>
      <c r="M75" s="346"/>
    </row>
    <row r="76" spans="1:13" ht="18" customHeight="1" x14ac:dyDescent="0.25">
      <c r="A76" s="346"/>
      <c r="B76" s="346"/>
      <c r="C76" s="346"/>
      <c r="D76" s="346"/>
      <c r="E76" s="346"/>
      <c r="F76" s="346"/>
      <c r="G76" s="346"/>
      <c r="H76" s="346"/>
      <c r="I76" s="346"/>
      <c r="J76" s="346"/>
      <c r="K76" s="346"/>
      <c r="L76" s="346"/>
      <c r="M76" s="346"/>
    </row>
    <row r="77" spans="1:13" ht="18" customHeight="1" x14ac:dyDescent="0.25">
      <c r="A77" s="346"/>
      <c r="B77" s="346"/>
      <c r="C77" s="346"/>
      <c r="D77" s="346"/>
      <c r="E77" s="346"/>
      <c r="F77" s="346"/>
      <c r="G77" s="346"/>
      <c r="H77" s="346"/>
      <c r="I77" s="346"/>
      <c r="J77" s="346"/>
      <c r="K77" s="346"/>
      <c r="L77" s="346"/>
      <c r="M77" s="346"/>
    </row>
    <row r="78" spans="1:13" ht="18" customHeight="1" x14ac:dyDescent="0.25">
      <c r="A78" s="346"/>
      <c r="B78" s="346"/>
      <c r="C78" s="346"/>
      <c r="D78" s="346"/>
      <c r="E78" s="346"/>
      <c r="F78" s="346"/>
      <c r="G78" s="346"/>
      <c r="H78" s="346"/>
      <c r="I78" s="346"/>
      <c r="J78" s="346"/>
      <c r="K78" s="346"/>
      <c r="L78" s="346"/>
      <c r="M78" s="346"/>
    </row>
    <row r="79" spans="1:13" ht="18" customHeight="1" x14ac:dyDescent="0.25">
      <c r="A79" s="346"/>
      <c r="B79" s="346"/>
      <c r="C79" s="346"/>
      <c r="D79" s="346"/>
      <c r="E79" s="346"/>
      <c r="F79" s="346"/>
      <c r="G79" s="346"/>
      <c r="H79" s="346"/>
      <c r="I79" s="346"/>
      <c r="J79" s="346"/>
      <c r="K79" s="346"/>
      <c r="L79" s="346"/>
      <c r="M79" s="346"/>
    </row>
    <row r="80" spans="1:13" ht="18" customHeight="1" x14ac:dyDescent="0.25">
      <c r="A80" s="346"/>
      <c r="B80" s="346"/>
      <c r="C80" s="346"/>
      <c r="D80" s="346"/>
      <c r="E80" s="346"/>
      <c r="F80" s="346"/>
      <c r="G80" s="346"/>
      <c r="H80" s="346"/>
      <c r="I80" s="346"/>
      <c r="J80" s="346"/>
      <c r="K80" s="346"/>
      <c r="L80" s="346"/>
      <c r="M80" s="346"/>
    </row>
    <row r="81" spans="1:13" ht="18" customHeight="1" x14ac:dyDescent="0.25">
      <c r="A81" s="346"/>
      <c r="B81" s="346"/>
      <c r="C81" s="346"/>
      <c r="D81" s="346"/>
      <c r="E81" s="346"/>
      <c r="F81" s="346"/>
      <c r="G81" s="346"/>
      <c r="H81" s="346"/>
      <c r="I81" s="346"/>
      <c r="J81" s="346"/>
      <c r="K81" s="346"/>
      <c r="L81" s="346"/>
      <c r="M81" s="346"/>
    </row>
    <row r="82" spans="1:13" ht="18" customHeight="1" x14ac:dyDescent="0.25">
      <c r="A82" s="346"/>
      <c r="B82" s="346"/>
      <c r="C82" s="346"/>
      <c r="D82" s="346"/>
      <c r="E82" s="346"/>
      <c r="F82" s="346"/>
      <c r="G82" s="346"/>
      <c r="H82" s="346"/>
      <c r="I82" s="346"/>
      <c r="J82" s="346"/>
      <c r="K82" s="346"/>
      <c r="L82" s="346"/>
      <c r="M82" s="346"/>
    </row>
    <row r="83" spans="1:13" ht="18" customHeight="1" x14ac:dyDescent="0.25">
      <c r="A83" s="346"/>
      <c r="B83" s="346"/>
      <c r="C83" s="346"/>
      <c r="D83" s="346"/>
      <c r="E83" s="346"/>
      <c r="F83" s="346"/>
      <c r="G83" s="346"/>
      <c r="H83" s="346"/>
      <c r="I83" s="346"/>
      <c r="J83" s="346"/>
      <c r="K83" s="346"/>
      <c r="L83" s="346"/>
      <c r="M83" s="346"/>
    </row>
  </sheetData>
  <sheetProtection algorithmName="SHA-512" hashValue="fT8SkQ6sGFSLxr40zZBawrsb4x8fKj3RR9PoedpnyQyec3iVGevGkW97jpZ74cmJby5CzxbPwg/lAmM1YVh7IQ==" saltValue="8DILqBI5Qfe+DGcrEHxuzg==" spinCount="100000" sheet="1" objects="1" scenarios="1"/>
  <mergeCells count="6">
    <mergeCell ref="B52:J52"/>
    <mergeCell ref="B2:J2"/>
    <mergeCell ref="B3:J3"/>
    <mergeCell ref="B12:J12"/>
    <mergeCell ref="B30:J30"/>
    <mergeCell ref="B33:J33"/>
  </mergeCells>
  <pageMargins left="0.75" right="0.75" top="1" bottom="1" header="0.511811023622047" footer="0.511811023622047"/>
  <pageSetup paperSize="9" scale="54" fitToHeight="0" orientation="landscape" horizontalDpi="300" verticalDpi="300" r:id="rId1"/>
  <headerFooter>
    <oddHeader>&amp;CPowered by TaxBizMantra.com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E6655"/>
  </sheetPr>
  <dimension ref="B1:P58"/>
  <sheetViews>
    <sheetView showGridLines="0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defaultColWidth="8.7109375" defaultRowHeight="15" x14ac:dyDescent="0.25"/>
  <cols>
    <col min="1" max="1" width="2" style="3" customWidth="1"/>
    <col min="2" max="2" width="32" style="3" customWidth="1"/>
    <col min="3" max="14" width="13" style="3" customWidth="1"/>
    <col min="15" max="15" width="16" style="3" customWidth="1"/>
    <col min="16" max="16" width="38" style="3" customWidth="1"/>
    <col min="17" max="16384" width="8.7109375" style="3"/>
  </cols>
  <sheetData>
    <row r="1" spans="2:15" ht="9.75" customHeight="1" x14ac:dyDescent="0.25"/>
    <row r="2" spans="2:15" ht="30" customHeight="1" thickBot="1" x14ac:dyDescent="0.3">
      <c r="B2" s="305" t="s">
        <v>619</v>
      </c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</row>
    <row r="3" spans="2:15" ht="25.5" customHeight="1" thickBot="1" x14ac:dyDescent="0.3">
      <c r="B3" s="28" t="s">
        <v>127</v>
      </c>
      <c r="C3" s="28" t="s">
        <v>62</v>
      </c>
      <c r="D3" s="28" t="s">
        <v>63</v>
      </c>
      <c r="E3" s="28" t="s">
        <v>64</v>
      </c>
      <c r="F3" s="28" t="s">
        <v>65</v>
      </c>
      <c r="G3" s="28" t="s">
        <v>66</v>
      </c>
      <c r="H3" s="28" t="s">
        <v>67</v>
      </c>
      <c r="I3" s="28" t="s">
        <v>68</v>
      </c>
      <c r="J3" s="28" t="s">
        <v>69</v>
      </c>
      <c r="K3" s="28" t="s">
        <v>70</v>
      </c>
      <c r="L3" s="28" t="s">
        <v>71</v>
      </c>
      <c r="M3" s="28" t="s">
        <v>72</v>
      </c>
      <c r="N3" s="28" t="s">
        <v>73</v>
      </c>
      <c r="O3" s="28" t="s">
        <v>306</v>
      </c>
    </row>
    <row r="4" spans="2:15" ht="30" customHeight="1" x14ac:dyDescent="0.25">
      <c r="B4" s="325" t="s">
        <v>402</v>
      </c>
      <c r="C4" s="325"/>
      <c r="D4" s="325"/>
      <c r="E4" s="325"/>
      <c r="F4" s="325"/>
      <c r="G4" s="325"/>
      <c r="H4" s="325"/>
      <c r="I4" s="325"/>
      <c r="J4" s="325"/>
      <c r="K4" s="325"/>
      <c r="L4" s="325"/>
      <c r="M4" s="325"/>
      <c r="N4" s="325"/>
      <c r="O4" s="325"/>
    </row>
    <row r="5" spans="2:15" ht="18" customHeight="1" x14ac:dyDescent="0.25">
      <c r="B5" s="233" t="s">
        <v>403</v>
      </c>
      <c r="C5" s="234">
        <f>'📥 RAW DATA INPUT'!C72</f>
        <v>83</v>
      </c>
      <c r="D5" s="234">
        <f>'📥 RAW DATA INPUT'!D72</f>
        <v>55</v>
      </c>
      <c r="E5" s="234">
        <f>'📥 RAW DATA INPUT'!E72</f>
        <v>73</v>
      </c>
      <c r="F5" s="234">
        <f>'📥 RAW DATA INPUT'!F72</f>
        <v>73</v>
      </c>
      <c r="G5" s="234">
        <f>'📥 RAW DATA INPUT'!G72</f>
        <v>66</v>
      </c>
      <c r="H5" s="234">
        <f>'📥 RAW DATA INPUT'!H72</f>
        <v>74</v>
      </c>
      <c r="I5" s="234">
        <f>'📥 RAW DATA INPUT'!I72</f>
        <v>74</v>
      </c>
      <c r="J5" s="234">
        <f>'📥 RAW DATA INPUT'!J72</f>
        <v>83</v>
      </c>
      <c r="K5" s="234">
        <f>'📥 RAW DATA INPUT'!K72</f>
        <v>74</v>
      </c>
      <c r="L5" s="234">
        <f>'📥 RAW DATA INPUT'!L72</f>
        <v>76</v>
      </c>
      <c r="M5" s="234">
        <f>'📥 RAW DATA INPUT'!M72</f>
        <v>76</v>
      </c>
      <c r="N5" s="234">
        <f>'📥 RAW DATA INPUT'!N72</f>
        <v>81</v>
      </c>
      <c r="O5" s="235">
        <f t="shared" ref="O5:O10" si="0">IFERROR(AVERAGE(C5:N5),"-")</f>
        <v>74</v>
      </c>
    </row>
    <row r="6" spans="2:15" ht="18" customHeight="1" x14ac:dyDescent="0.25">
      <c r="B6" s="233" t="s">
        <v>404</v>
      </c>
      <c r="C6" s="234">
        <f>'📥 RAW DATA INPUT'!C73</f>
        <v>64</v>
      </c>
      <c r="D6" s="234">
        <f>'📥 RAW DATA INPUT'!D73</f>
        <v>86</v>
      </c>
      <c r="E6" s="234">
        <f>'📥 RAW DATA INPUT'!E73</f>
        <v>66</v>
      </c>
      <c r="F6" s="234">
        <f>'📥 RAW DATA INPUT'!F73</f>
        <v>59</v>
      </c>
      <c r="G6" s="234">
        <f>'📥 RAW DATA INPUT'!G73</f>
        <v>62</v>
      </c>
      <c r="H6" s="234">
        <f>'📥 RAW DATA INPUT'!H73</f>
        <v>66</v>
      </c>
      <c r="I6" s="234">
        <f>'📥 RAW DATA INPUT'!I73</f>
        <v>57</v>
      </c>
      <c r="J6" s="234">
        <f>'📥 RAW DATA INPUT'!J73</f>
        <v>69</v>
      </c>
      <c r="K6" s="234">
        <f>'📥 RAW DATA INPUT'!K73</f>
        <v>68</v>
      </c>
      <c r="L6" s="234">
        <f>'📥 RAW DATA INPUT'!L73</f>
        <v>87</v>
      </c>
      <c r="M6" s="234">
        <f>'📥 RAW DATA INPUT'!M73</f>
        <v>66</v>
      </c>
      <c r="N6" s="234">
        <f>'📥 RAW DATA INPUT'!N73</f>
        <v>80</v>
      </c>
      <c r="O6" s="235">
        <f t="shared" si="0"/>
        <v>69.166666666666671</v>
      </c>
    </row>
    <row r="7" spans="2:15" ht="18" customHeight="1" x14ac:dyDescent="0.25">
      <c r="B7" s="233" t="s">
        <v>405</v>
      </c>
      <c r="C7" s="234">
        <f>'📥 RAW DATA INPUT'!C74</f>
        <v>61</v>
      </c>
      <c r="D7" s="234">
        <f>'📥 RAW DATA INPUT'!D74</f>
        <v>81</v>
      </c>
      <c r="E7" s="234">
        <f>'📥 RAW DATA INPUT'!E74</f>
        <v>61</v>
      </c>
      <c r="F7" s="234">
        <f>'📥 RAW DATA INPUT'!F74</f>
        <v>59</v>
      </c>
      <c r="G7" s="234">
        <f>'📥 RAW DATA INPUT'!G74</f>
        <v>60</v>
      </c>
      <c r="H7" s="234">
        <f>'📥 RAW DATA INPUT'!H74</f>
        <v>88</v>
      </c>
      <c r="I7" s="234">
        <f>'📥 RAW DATA INPUT'!I74</f>
        <v>81</v>
      </c>
      <c r="J7" s="234">
        <f>'📥 RAW DATA INPUT'!J74</f>
        <v>78</v>
      </c>
      <c r="K7" s="234">
        <f>'📥 RAW DATA INPUT'!K74</f>
        <v>73</v>
      </c>
      <c r="L7" s="234">
        <f>'📥 RAW DATA INPUT'!L74</f>
        <v>73</v>
      </c>
      <c r="M7" s="234">
        <f>'📥 RAW DATA INPUT'!M74</f>
        <v>61</v>
      </c>
      <c r="N7" s="234">
        <f>'📥 RAW DATA INPUT'!N74</f>
        <v>75</v>
      </c>
      <c r="O7" s="235">
        <f t="shared" si="0"/>
        <v>70.916666666666671</v>
      </c>
    </row>
    <row r="8" spans="2:15" ht="18" customHeight="1" x14ac:dyDescent="0.25">
      <c r="B8" s="236" t="s">
        <v>406</v>
      </c>
      <c r="C8" s="237">
        <f>'📥 RAW DATA INPUT'!C75</f>
        <v>86</v>
      </c>
      <c r="D8" s="237">
        <f>'📥 RAW DATA INPUT'!D75</f>
        <v>64</v>
      </c>
      <c r="E8" s="237">
        <f>'📥 RAW DATA INPUT'!E75</f>
        <v>79</v>
      </c>
      <c r="F8" s="237">
        <f>'📥 RAW DATA INPUT'!F75</f>
        <v>87</v>
      </c>
      <c r="G8" s="237">
        <f>'📥 RAW DATA INPUT'!G75</f>
        <v>83</v>
      </c>
      <c r="H8" s="237">
        <f>'📥 RAW DATA INPUT'!H75</f>
        <v>68</v>
      </c>
      <c r="I8" s="237">
        <f>'📥 RAW DATA INPUT'!I75</f>
        <v>79</v>
      </c>
      <c r="J8" s="237">
        <f>'📥 RAW DATA INPUT'!J75</f>
        <v>78</v>
      </c>
      <c r="K8" s="237">
        <f>'📥 RAW DATA INPUT'!K75</f>
        <v>86</v>
      </c>
      <c r="L8" s="237">
        <f>'📥 RAW DATA INPUT'!L75</f>
        <v>87</v>
      </c>
      <c r="M8" s="237">
        <f>'📥 RAW DATA INPUT'!M75</f>
        <v>68</v>
      </c>
      <c r="N8" s="237">
        <f>'📥 RAW DATA INPUT'!N75</f>
        <v>64</v>
      </c>
      <c r="O8" s="235">
        <f t="shared" si="0"/>
        <v>77.416666666666671</v>
      </c>
    </row>
    <row r="9" spans="2:15" ht="18" customHeight="1" x14ac:dyDescent="0.25">
      <c r="B9" s="236" t="s">
        <v>407</v>
      </c>
      <c r="C9" s="237">
        <f>'📥 RAW DATA INPUT'!C76</f>
        <v>68</v>
      </c>
      <c r="D9" s="237">
        <f>'📥 RAW DATA INPUT'!D76</f>
        <v>71</v>
      </c>
      <c r="E9" s="237">
        <f>'📥 RAW DATA INPUT'!E76</f>
        <v>75</v>
      </c>
      <c r="F9" s="237">
        <f>'📥 RAW DATA INPUT'!F76</f>
        <v>64</v>
      </c>
      <c r="G9" s="237">
        <f>'📥 RAW DATA INPUT'!G76</f>
        <v>78</v>
      </c>
      <c r="H9" s="237">
        <f>'📥 RAW DATA INPUT'!H76</f>
        <v>61</v>
      </c>
      <c r="I9" s="237">
        <f>'📥 RAW DATA INPUT'!I76</f>
        <v>71</v>
      </c>
      <c r="J9" s="237">
        <f>'📥 RAW DATA INPUT'!J76</f>
        <v>76</v>
      </c>
      <c r="K9" s="237">
        <f>'📥 RAW DATA INPUT'!K76</f>
        <v>60</v>
      </c>
      <c r="L9" s="237">
        <f>'📥 RAW DATA INPUT'!L76</f>
        <v>75</v>
      </c>
      <c r="M9" s="237">
        <f>'📥 RAW DATA INPUT'!M76</f>
        <v>83</v>
      </c>
      <c r="N9" s="237">
        <f>'📥 RAW DATA INPUT'!N76</f>
        <v>57</v>
      </c>
      <c r="O9" s="235">
        <f t="shared" si="0"/>
        <v>69.916666666666671</v>
      </c>
    </row>
    <row r="10" spans="2:15" ht="18" customHeight="1" x14ac:dyDescent="0.25">
      <c r="B10" s="236" t="s">
        <v>408</v>
      </c>
      <c r="C10" s="237">
        <f>'📥 RAW DATA INPUT'!C77</f>
        <v>57</v>
      </c>
      <c r="D10" s="237">
        <f>'📥 RAW DATA INPUT'!D77</f>
        <v>72</v>
      </c>
      <c r="E10" s="237">
        <f>'📥 RAW DATA INPUT'!E77</f>
        <v>67</v>
      </c>
      <c r="F10" s="237">
        <f>'📥 RAW DATA INPUT'!F77</f>
        <v>76</v>
      </c>
      <c r="G10" s="237">
        <f>'📥 RAW DATA INPUT'!G77</f>
        <v>78</v>
      </c>
      <c r="H10" s="237">
        <f>'📥 RAW DATA INPUT'!H77</f>
        <v>65</v>
      </c>
      <c r="I10" s="237">
        <f>'📥 RAW DATA INPUT'!I77</f>
        <v>80</v>
      </c>
      <c r="J10" s="237">
        <f>'📥 RAW DATA INPUT'!J77</f>
        <v>57</v>
      </c>
      <c r="K10" s="237">
        <f>'📥 RAW DATA INPUT'!K77</f>
        <v>65</v>
      </c>
      <c r="L10" s="237">
        <f>'📥 RAW DATA INPUT'!L77</f>
        <v>69</v>
      </c>
      <c r="M10" s="237">
        <f>'📥 RAW DATA INPUT'!M77</f>
        <v>61</v>
      </c>
      <c r="N10" s="237">
        <f>'📥 RAW DATA INPUT'!N77</f>
        <v>88</v>
      </c>
      <c r="O10" s="235">
        <f t="shared" si="0"/>
        <v>69.583333333333329</v>
      </c>
    </row>
    <row r="12" spans="2:15" ht="30" customHeight="1" x14ac:dyDescent="0.25">
      <c r="B12" s="307" t="s">
        <v>409</v>
      </c>
      <c r="C12" s="307"/>
      <c r="D12" s="307"/>
      <c r="E12" s="307"/>
      <c r="F12" s="307"/>
      <c r="G12" s="307"/>
      <c r="H12" s="307"/>
      <c r="I12" s="307"/>
      <c r="J12" s="307"/>
      <c r="K12" s="307"/>
      <c r="L12" s="307"/>
      <c r="M12" s="307"/>
      <c r="N12" s="307"/>
      <c r="O12" s="307"/>
    </row>
    <row r="13" spans="2:15" ht="18" customHeight="1" x14ac:dyDescent="0.25">
      <c r="B13" s="238" t="s">
        <v>410</v>
      </c>
      <c r="C13" s="239">
        <f t="shared" ref="C13:N13" si="1">C5+C6+C7</f>
        <v>208</v>
      </c>
      <c r="D13" s="239">
        <f t="shared" si="1"/>
        <v>222</v>
      </c>
      <c r="E13" s="239">
        <f t="shared" si="1"/>
        <v>200</v>
      </c>
      <c r="F13" s="239">
        <f t="shared" si="1"/>
        <v>191</v>
      </c>
      <c r="G13" s="239">
        <f t="shared" si="1"/>
        <v>188</v>
      </c>
      <c r="H13" s="239">
        <f t="shared" si="1"/>
        <v>228</v>
      </c>
      <c r="I13" s="239">
        <f t="shared" si="1"/>
        <v>212</v>
      </c>
      <c r="J13" s="239">
        <f t="shared" si="1"/>
        <v>230</v>
      </c>
      <c r="K13" s="239">
        <f t="shared" si="1"/>
        <v>215</v>
      </c>
      <c r="L13" s="239">
        <f t="shared" si="1"/>
        <v>236</v>
      </c>
      <c r="M13" s="239">
        <f t="shared" si="1"/>
        <v>203</v>
      </c>
      <c r="N13" s="239">
        <f t="shared" si="1"/>
        <v>236</v>
      </c>
      <c r="O13" s="240">
        <f t="shared" ref="O13:O18" si="2">IFERROR(AVERAGE(C13:N13),"-")</f>
        <v>214.08333333333334</v>
      </c>
    </row>
    <row r="14" spans="2:15" ht="18" customHeight="1" x14ac:dyDescent="0.25">
      <c r="B14" s="236" t="s">
        <v>411</v>
      </c>
      <c r="C14" s="237">
        <f t="shared" ref="C14:N14" si="3">C8+C9+C10</f>
        <v>211</v>
      </c>
      <c r="D14" s="237">
        <f t="shared" si="3"/>
        <v>207</v>
      </c>
      <c r="E14" s="237">
        <f t="shared" si="3"/>
        <v>221</v>
      </c>
      <c r="F14" s="237">
        <f t="shared" si="3"/>
        <v>227</v>
      </c>
      <c r="G14" s="237">
        <f t="shared" si="3"/>
        <v>239</v>
      </c>
      <c r="H14" s="237">
        <f t="shared" si="3"/>
        <v>194</v>
      </c>
      <c r="I14" s="237">
        <f t="shared" si="3"/>
        <v>230</v>
      </c>
      <c r="J14" s="237">
        <f t="shared" si="3"/>
        <v>211</v>
      </c>
      <c r="K14" s="237">
        <f t="shared" si="3"/>
        <v>211</v>
      </c>
      <c r="L14" s="237">
        <f t="shared" si="3"/>
        <v>231</v>
      </c>
      <c r="M14" s="237">
        <f t="shared" si="3"/>
        <v>212</v>
      </c>
      <c r="N14" s="237">
        <f t="shared" si="3"/>
        <v>209</v>
      </c>
      <c r="O14" s="241">
        <f t="shared" si="2"/>
        <v>216.91666666666666</v>
      </c>
    </row>
    <row r="15" spans="2:15" ht="18" customHeight="1" x14ac:dyDescent="0.25">
      <c r="B15" s="242" t="s">
        <v>412</v>
      </c>
      <c r="C15" s="143">
        <f t="shared" ref="C15:N15" si="4">C13-C14</f>
        <v>-3</v>
      </c>
      <c r="D15" s="143">
        <f t="shared" si="4"/>
        <v>15</v>
      </c>
      <c r="E15" s="143">
        <f t="shared" si="4"/>
        <v>-21</v>
      </c>
      <c r="F15" s="143">
        <f t="shared" si="4"/>
        <v>-36</v>
      </c>
      <c r="G15" s="143">
        <f t="shared" si="4"/>
        <v>-51</v>
      </c>
      <c r="H15" s="143">
        <f t="shared" si="4"/>
        <v>34</v>
      </c>
      <c r="I15" s="143">
        <f t="shared" si="4"/>
        <v>-18</v>
      </c>
      <c r="J15" s="143">
        <f t="shared" si="4"/>
        <v>19</v>
      </c>
      <c r="K15" s="143">
        <f t="shared" si="4"/>
        <v>4</v>
      </c>
      <c r="L15" s="143">
        <f t="shared" si="4"/>
        <v>5</v>
      </c>
      <c r="M15" s="143">
        <f t="shared" si="4"/>
        <v>-9</v>
      </c>
      <c r="N15" s="143">
        <f t="shared" si="4"/>
        <v>27</v>
      </c>
      <c r="O15" s="144">
        <f t="shared" si="2"/>
        <v>-2.8333333333333335</v>
      </c>
    </row>
    <row r="16" spans="2:15" ht="18" customHeight="1" x14ac:dyDescent="0.25">
      <c r="B16" s="242" t="s">
        <v>227</v>
      </c>
      <c r="C16" s="243">
        <f t="shared" ref="C16:N16" si="5">IFERROR(C13/C14,"-")</f>
        <v>0.98578199052132698</v>
      </c>
      <c r="D16" s="243">
        <f t="shared" si="5"/>
        <v>1.0724637681159421</v>
      </c>
      <c r="E16" s="243">
        <f t="shared" si="5"/>
        <v>0.90497737556561086</v>
      </c>
      <c r="F16" s="243">
        <f t="shared" si="5"/>
        <v>0.84140969162995594</v>
      </c>
      <c r="G16" s="243">
        <f t="shared" si="5"/>
        <v>0.78661087866108792</v>
      </c>
      <c r="H16" s="243">
        <f t="shared" si="5"/>
        <v>1.1752577319587629</v>
      </c>
      <c r="I16" s="243">
        <f t="shared" si="5"/>
        <v>0.92173913043478262</v>
      </c>
      <c r="J16" s="243">
        <f t="shared" si="5"/>
        <v>1.0900473933649288</v>
      </c>
      <c r="K16" s="243">
        <f t="shared" si="5"/>
        <v>1.018957345971564</v>
      </c>
      <c r="L16" s="243">
        <f t="shared" si="5"/>
        <v>1.0216450216450217</v>
      </c>
      <c r="M16" s="243">
        <f t="shared" si="5"/>
        <v>0.95754716981132071</v>
      </c>
      <c r="N16" s="243">
        <f t="shared" si="5"/>
        <v>1.1291866028708133</v>
      </c>
      <c r="O16" s="244">
        <f t="shared" si="2"/>
        <v>0.9921353417125931</v>
      </c>
    </row>
    <row r="17" spans="2:16" ht="18" customHeight="1" x14ac:dyDescent="0.25">
      <c r="B17" s="242" t="s">
        <v>413</v>
      </c>
      <c r="C17" s="243">
        <f t="shared" ref="C17:N17" si="6">IFERROR((C5+C7)/C14,"-")</f>
        <v>0.68246445497630337</v>
      </c>
      <c r="D17" s="243">
        <f t="shared" si="6"/>
        <v>0.65700483091787443</v>
      </c>
      <c r="E17" s="243">
        <f t="shared" si="6"/>
        <v>0.60633484162895923</v>
      </c>
      <c r="F17" s="243">
        <f t="shared" si="6"/>
        <v>0.58149779735682816</v>
      </c>
      <c r="G17" s="243">
        <f t="shared" si="6"/>
        <v>0.52719665271966532</v>
      </c>
      <c r="H17" s="243">
        <f t="shared" si="6"/>
        <v>0.83505154639175261</v>
      </c>
      <c r="I17" s="243">
        <f t="shared" si="6"/>
        <v>0.67391304347826086</v>
      </c>
      <c r="J17" s="243">
        <f t="shared" si="6"/>
        <v>0.76303317535545023</v>
      </c>
      <c r="K17" s="243">
        <f t="shared" si="6"/>
        <v>0.69668246445497628</v>
      </c>
      <c r="L17" s="243">
        <f t="shared" si="6"/>
        <v>0.64502164502164505</v>
      </c>
      <c r="M17" s="243">
        <f t="shared" si="6"/>
        <v>0.64622641509433965</v>
      </c>
      <c r="N17" s="243">
        <f t="shared" si="6"/>
        <v>0.74641148325358853</v>
      </c>
      <c r="O17" s="244">
        <f t="shared" si="2"/>
        <v>0.67173652922080374</v>
      </c>
    </row>
    <row r="18" spans="2:16" ht="18" customHeight="1" x14ac:dyDescent="0.25">
      <c r="B18" s="238" t="s">
        <v>414</v>
      </c>
      <c r="C18" s="245">
        <f>IFERROR(C15/'📥 RAW DATA INPUT'!C23,"-")</f>
        <v>-7.5301204819277112E-4</v>
      </c>
      <c r="D18" s="245">
        <f>IFERROR(D15/'📥 RAW DATA INPUT'!D23,"-")</f>
        <v>3.9651070578905628E-3</v>
      </c>
      <c r="E18" s="245">
        <f>IFERROR(E15/'📥 RAW DATA INPUT'!E23,"-")</f>
        <v>-6.2799043062200955E-3</v>
      </c>
      <c r="F18" s="245">
        <f>IFERROR(F15/'📥 RAW DATA INPUT'!F23,"-")</f>
        <v>-8.8626292466765146E-3</v>
      </c>
      <c r="G18" s="245">
        <f>IFERROR(G15/'📥 RAW DATA INPUT'!G23,"-")</f>
        <v>-1.3191929643041904E-2</v>
      </c>
      <c r="H18" s="245">
        <f>IFERROR(H15/'📥 RAW DATA INPUT'!H23,"-")</f>
        <v>9.7115109968580401E-3</v>
      </c>
      <c r="I18" s="245">
        <f>IFERROR(I15/'📥 RAW DATA INPUT'!I23,"-")</f>
        <v>-4.6343975283213183E-3</v>
      </c>
      <c r="J18" s="245">
        <f>IFERROR(J15/'📥 RAW DATA INPUT'!J23,"-")</f>
        <v>4.6557216368537119E-3</v>
      </c>
      <c r="K18" s="245">
        <f>IFERROR(K15/'📥 RAW DATA INPUT'!K23,"-")</f>
        <v>1.006036217303823E-3</v>
      </c>
      <c r="L18" s="245">
        <f>IFERROR(L15/'📥 RAW DATA INPUT'!L23,"-")</f>
        <v>1.3273161667109105E-3</v>
      </c>
      <c r="M18" s="245">
        <f>IFERROR(M15/'📥 RAW DATA INPUT'!M23,"-")</f>
        <v>-2.2906592008144567E-3</v>
      </c>
      <c r="N18" s="245">
        <f>IFERROR(N15/'📥 RAW DATA INPUT'!N23,"-")</f>
        <v>4.725236261813091E-3</v>
      </c>
      <c r="O18" s="246">
        <f t="shared" si="2"/>
        <v>-8.8513363631974361E-4</v>
      </c>
    </row>
    <row r="20" spans="2:16" ht="30" customHeight="1" x14ac:dyDescent="0.25">
      <c r="B20" s="326" t="s">
        <v>415</v>
      </c>
      <c r="C20" s="326"/>
      <c r="D20" s="326"/>
      <c r="E20" s="326"/>
      <c r="F20" s="326"/>
      <c r="G20" s="326"/>
      <c r="H20" s="326"/>
      <c r="I20" s="326"/>
      <c r="J20" s="326"/>
      <c r="K20" s="326"/>
      <c r="L20" s="326"/>
      <c r="M20" s="326"/>
      <c r="N20" s="326"/>
      <c r="O20" s="326"/>
    </row>
    <row r="21" spans="2:16" ht="18" customHeight="1" x14ac:dyDescent="0.25">
      <c r="B21" s="327" t="s">
        <v>416</v>
      </c>
      <c r="C21" s="327"/>
      <c r="D21" s="327"/>
      <c r="E21" s="327"/>
      <c r="F21" s="327"/>
      <c r="G21" s="327"/>
      <c r="H21" s="327"/>
      <c r="I21" s="327"/>
      <c r="J21" s="327"/>
      <c r="K21" s="327"/>
      <c r="L21" s="327"/>
      <c r="M21" s="327"/>
      <c r="N21" s="327"/>
      <c r="O21" s="327"/>
    </row>
    <row r="22" spans="2:16" ht="19.5" customHeight="1" x14ac:dyDescent="0.25">
      <c r="B22" s="247" t="s">
        <v>215</v>
      </c>
      <c r="C22" s="248">
        <f>IFERROR((C5/'📥 RAW DATA INPUT'!C23)*30,"-")</f>
        <v>0.625</v>
      </c>
      <c r="D22" s="248">
        <f>IFERROR((D5/'📥 RAW DATA INPUT'!D23)*30,"-")</f>
        <v>0.43616177636796194</v>
      </c>
      <c r="E22" s="248">
        <f>IFERROR((E5/'📥 RAW DATA INPUT'!E23)*30,"-")</f>
        <v>0.65490430622009566</v>
      </c>
      <c r="F22" s="248">
        <f>IFERROR((F5/'📥 RAW DATA INPUT'!F23)*30,"-")</f>
        <v>0.53914327917282123</v>
      </c>
      <c r="G22" s="248">
        <f>IFERROR((G5/'📥 RAW DATA INPUT'!G23)*30,"-")</f>
        <v>0.51215726849456811</v>
      </c>
      <c r="H22" s="248">
        <f>IFERROR((H5/'📥 RAW DATA INPUT'!H23)*30,"-")</f>
        <v>0.63410454155955442</v>
      </c>
      <c r="I22" s="248">
        <f>IFERROR((I5/'📥 RAW DATA INPUT'!I23)*30,"-")</f>
        <v>0.57157569515962925</v>
      </c>
      <c r="J22" s="248">
        <f>IFERROR((J5/'📥 RAW DATA INPUT'!J23)*30,"-")</f>
        <v>0.61014457240872333</v>
      </c>
      <c r="K22" s="248">
        <f>IFERROR((K5/'📥 RAW DATA INPUT'!K23)*30,"-")</f>
        <v>0.55835010060362178</v>
      </c>
      <c r="L22" s="248">
        <f>IFERROR((L5/'📥 RAW DATA INPUT'!L23)*30,"-")</f>
        <v>0.60525617202017523</v>
      </c>
      <c r="M22" s="248">
        <f>IFERROR((M5/'📥 RAW DATA INPUT'!M23)*30,"-")</f>
        <v>0.58030033087299571</v>
      </c>
      <c r="N22" s="248">
        <f>IFERROR((N5/'📥 RAW DATA INPUT'!N23)*30,"-")</f>
        <v>0.42527126356317813</v>
      </c>
      <c r="O22" s="249">
        <f t="shared" ref="O22:O28" si="7">IFERROR(AVERAGE(C22:N22),"-")</f>
        <v>0.5626974422036104</v>
      </c>
      <c r="P22" s="41" t="s">
        <v>417</v>
      </c>
    </row>
    <row r="23" spans="2:16" ht="19.5" customHeight="1" x14ac:dyDescent="0.25">
      <c r="B23" s="250" t="s">
        <v>218</v>
      </c>
      <c r="C23" s="251">
        <f>IFERROR((C8/'📥 RAW DATA INPUT'!C28)*30,"-")</f>
        <v>36.338028169014081</v>
      </c>
      <c r="D23" s="251">
        <f>IFERROR((D8/'📥 RAW DATA INPUT'!D28)*30,"-")</f>
        <v>21.333333333333336</v>
      </c>
      <c r="E23" s="251">
        <f>IFERROR((E8/'📥 RAW DATA INPUT'!E28)*30,"-")</f>
        <v>30.384615384615383</v>
      </c>
      <c r="F23" s="251">
        <f>IFERROR((F8/'📥 RAW DATA INPUT'!F28)*30,"-")</f>
        <v>33.46153846153846</v>
      </c>
      <c r="G23" s="251">
        <f>IFERROR((G8/'📥 RAW DATA INPUT'!G28)*30,"-")</f>
        <v>38.307692307692307</v>
      </c>
      <c r="H23" s="251">
        <f>IFERROR((H8/'📥 RAW DATA INPUT'!H28)*30,"-")</f>
        <v>30</v>
      </c>
      <c r="I23" s="251">
        <f>IFERROR((I8/'📥 RAW DATA INPUT'!I28)*30,"-")</f>
        <v>40.16949152542373</v>
      </c>
      <c r="J23" s="251">
        <f>IFERROR((J8/'📥 RAW DATA INPUT'!J28)*30,"-")</f>
        <v>34.411764705882348</v>
      </c>
      <c r="K23" s="251">
        <f>IFERROR((K8/'📥 RAW DATA INPUT'!K28)*30,"-")</f>
        <v>30.352941176470587</v>
      </c>
      <c r="L23" s="251">
        <f>IFERROR((L8/'📥 RAW DATA INPUT'!L28)*30,"-")</f>
        <v>30</v>
      </c>
      <c r="M23" s="251">
        <f>IFERROR((M8/'📥 RAW DATA INPUT'!M28)*30,"-")</f>
        <v>27.945205479452053</v>
      </c>
      <c r="N23" s="251">
        <f>IFERROR((N8/'📥 RAW DATA INPUT'!N28)*30,"-")</f>
        <v>26.666666666666664</v>
      </c>
      <c r="O23" s="249">
        <f t="shared" si="7"/>
        <v>31.614273100840748</v>
      </c>
      <c r="P23" s="41" t="s">
        <v>418</v>
      </c>
    </row>
    <row r="24" spans="2:16" ht="19.5" customHeight="1" x14ac:dyDescent="0.25">
      <c r="B24" s="252" t="s">
        <v>221</v>
      </c>
      <c r="C24" s="253">
        <f>IFERROR((C6/'📥 RAW DATA INPUT'!C28)*30,"-")</f>
        <v>27.04225352112676</v>
      </c>
      <c r="D24" s="253">
        <f>IFERROR((D6/'📥 RAW DATA INPUT'!D28)*30,"-")</f>
        <v>28.666666666666668</v>
      </c>
      <c r="E24" s="253">
        <f>IFERROR((E6/'📥 RAW DATA INPUT'!E28)*30,"-")</f>
        <v>25.384615384615383</v>
      </c>
      <c r="F24" s="253">
        <f>IFERROR((F6/'📥 RAW DATA INPUT'!F28)*30,"-")</f>
        <v>22.692307692307693</v>
      </c>
      <c r="G24" s="253">
        <f>IFERROR((G6/'📥 RAW DATA INPUT'!G28)*30,"-")</f>
        <v>28.615384615384617</v>
      </c>
      <c r="H24" s="253">
        <f>IFERROR((H6/'📥 RAW DATA INPUT'!H28)*30,"-")</f>
        <v>29.117647058823529</v>
      </c>
      <c r="I24" s="253">
        <f>IFERROR((I6/'📥 RAW DATA INPUT'!I28)*30,"-")</f>
        <v>28.983050847457626</v>
      </c>
      <c r="J24" s="253">
        <f>IFERROR((J6/'📥 RAW DATA INPUT'!J28)*30,"-")</f>
        <v>30.441176470588232</v>
      </c>
      <c r="K24" s="253">
        <f>IFERROR((K6/'📥 RAW DATA INPUT'!K28)*30,"-")</f>
        <v>24</v>
      </c>
      <c r="L24" s="253">
        <f>IFERROR((L6/'📥 RAW DATA INPUT'!L28)*30,"-")</f>
        <v>30</v>
      </c>
      <c r="M24" s="253">
        <f>IFERROR((M6/'📥 RAW DATA INPUT'!M28)*30,"-")</f>
        <v>27.123287671232877</v>
      </c>
      <c r="N24" s="253">
        <f>IFERROR((N6/'📥 RAW DATA INPUT'!N28)*30,"-")</f>
        <v>33.333333333333336</v>
      </c>
      <c r="O24" s="254">
        <f t="shared" si="7"/>
        <v>27.949976938461393</v>
      </c>
      <c r="P24" s="41" t="s">
        <v>419</v>
      </c>
    </row>
    <row r="25" spans="2:16" ht="19.5" customHeight="1" x14ac:dyDescent="0.25">
      <c r="B25" s="255" t="s">
        <v>224</v>
      </c>
      <c r="C25" s="256">
        <f t="shared" ref="C25:N25" si="8">IFERROR(C22+C24-C23,"-")</f>
        <v>-8.6707746478873204</v>
      </c>
      <c r="D25" s="256">
        <f t="shared" si="8"/>
        <v>7.7694951097012925</v>
      </c>
      <c r="E25" s="256">
        <f t="shared" si="8"/>
        <v>-4.3450956937799035</v>
      </c>
      <c r="F25" s="256">
        <f t="shared" si="8"/>
        <v>-10.230087490057944</v>
      </c>
      <c r="G25" s="256">
        <f t="shared" si="8"/>
        <v>-9.1801504238131209</v>
      </c>
      <c r="H25" s="256">
        <f t="shared" si="8"/>
        <v>-0.2482483996169158</v>
      </c>
      <c r="I25" s="256">
        <f t="shared" si="8"/>
        <v>-10.614864982806473</v>
      </c>
      <c r="J25" s="256">
        <f t="shared" si="8"/>
        <v>-3.3604436628853911</v>
      </c>
      <c r="K25" s="256">
        <f t="shared" si="8"/>
        <v>-5.7945910758669648</v>
      </c>
      <c r="L25" s="256">
        <f t="shared" si="8"/>
        <v>0.60525617202017656</v>
      </c>
      <c r="M25" s="256">
        <f t="shared" si="8"/>
        <v>-0.24161747734618189</v>
      </c>
      <c r="N25" s="256">
        <f t="shared" si="8"/>
        <v>7.0919379302298466</v>
      </c>
      <c r="O25" s="257">
        <f t="shared" si="7"/>
        <v>-3.1015987201757418</v>
      </c>
      <c r="P25" s="41" t="s">
        <v>420</v>
      </c>
    </row>
    <row r="26" spans="2:16" ht="19.5" customHeight="1" x14ac:dyDescent="0.25">
      <c r="B26" s="258" t="s">
        <v>421</v>
      </c>
      <c r="C26" s="259">
        <f>IFERROR('📥 RAW DATA INPUT'!C23/C5,"-")</f>
        <v>48</v>
      </c>
      <c r="D26" s="259">
        <f>IFERROR('📥 RAW DATA INPUT'!D23/D5,"-")</f>
        <v>68.781818181818181</v>
      </c>
      <c r="E26" s="259">
        <f>IFERROR('📥 RAW DATA INPUT'!E23/E5,"-")</f>
        <v>45.80821917808219</v>
      </c>
      <c r="F26" s="259">
        <f>IFERROR('📥 RAW DATA INPUT'!F23/F5,"-")</f>
        <v>55.643835616438359</v>
      </c>
      <c r="G26" s="259">
        <f>IFERROR('📥 RAW DATA INPUT'!G23/G5,"-")</f>
        <v>58.575757575757578</v>
      </c>
      <c r="H26" s="259">
        <f>IFERROR('📥 RAW DATA INPUT'!H23/H5,"-")</f>
        <v>47.310810810810814</v>
      </c>
      <c r="I26" s="259">
        <f>IFERROR('📥 RAW DATA INPUT'!I23/I5,"-")</f>
        <v>52.486486486486484</v>
      </c>
      <c r="J26" s="259">
        <f>IFERROR('📥 RAW DATA INPUT'!J23/J5,"-")</f>
        <v>49.168674698795179</v>
      </c>
      <c r="K26" s="259">
        <f>IFERROR('📥 RAW DATA INPUT'!K23/K5,"-")</f>
        <v>53.729729729729726</v>
      </c>
      <c r="L26" s="259">
        <f>IFERROR('📥 RAW DATA INPUT'!L23/L5,"-")</f>
        <v>49.565789473684212</v>
      </c>
      <c r="M26" s="259">
        <f>IFERROR('📥 RAW DATA INPUT'!M23/M5,"-")</f>
        <v>51.69736842105263</v>
      </c>
      <c r="N26" s="259">
        <f>IFERROR('📥 RAW DATA INPUT'!N23/N5,"-")</f>
        <v>70.543209876543216</v>
      </c>
      <c r="O26" s="260">
        <f t="shared" si="7"/>
        <v>54.275975004099877</v>
      </c>
      <c r="P26" s="41" t="s">
        <v>422</v>
      </c>
    </row>
    <row r="27" spans="2:16" ht="19.5" customHeight="1" x14ac:dyDescent="0.25">
      <c r="B27" s="258" t="s">
        <v>423</v>
      </c>
      <c r="C27" s="259">
        <f>IFERROR('📥 RAW DATA INPUT'!C28/C8,"-")</f>
        <v>0.82558139534883723</v>
      </c>
      <c r="D27" s="259">
        <f>IFERROR('📥 RAW DATA INPUT'!D28/D8,"-")</f>
        <v>1.40625</v>
      </c>
      <c r="E27" s="259">
        <f>IFERROR('📥 RAW DATA INPUT'!E28/E8,"-")</f>
        <v>0.98734177215189878</v>
      </c>
      <c r="F27" s="259">
        <f>IFERROR('📥 RAW DATA INPUT'!F28/F8,"-")</f>
        <v>0.89655172413793105</v>
      </c>
      <c r="G27" s="259">
        <f>IFERROR('📥 RAW DATA INPUT'!G28/G8,"-")</f>
        <v>0.7831325301204819</v>
      </c>
      <c r="H27" s="259">
        <f>IFERROR('📥 RAW DATA INPUT'!H28/H8,"-")</f>
        <v>1</v>
      </c>
      <c r="I27" s="259">
        <f>IFERROR('📥 RAW DATA INPUT'!I28/I8,"-")</f>
        <v>0.74683544303797467</v>
      </c>
      <c r="J27" s="259">
        <f>IFERROR('📥 RAW DATA INPUT'!J28/J8,"-")</f>
        <v>0.87179487179487181</v>
      </c>
      <c r="K27" s="259">
        <f>IFERROR('📥 RAW DATA INPUT'!K28/K8,"-")</f>
        <v>0.98837209302325579</v>
      </c>
      <c r="L27" s="259">
        <f>IFERROR('📥 RAW DATA INPUT'!L28/L8,"-")</f>
        <v>1</v>
      </c>
      <c r="M27" s="259">
        <f>IFERROR('📥 RAW DATA INPUT'!M28/M8,"-")</f>
        <v>1.0735294117647058</v>
      </c>
      <c r="N27" s="259">
        <f>IFERROR('📥 RAW DATA INPUT'!N28/N8,"-")</f>
        <v>1.125</v>
      </c>
      <c r="O27" s="260">
        <f t="shared" si="7"/>
        <v>0.97536577011499637</v>
      </c>
      <c r="P27" s="41" t="s">
        <v>424</v>
      </c>
    </row>
    <row r="28" spans="2:16" ht="19.5" customHeight="1" x14ac:dyDescent="0.25">
      <c r="B28" s="252" t="s">
        <v>425</v>
      </c>
      <c r="C28" s="261">
        <f>IFERROR('📥 RAW DATA INPUT'!C28/C6,"-")</f>
        <v>1.109375</v>
      </c>
      <c r="D28" s="261">
        <f>IFERROR('📥 RAW DATA INPUT'!D28/D6,"-")</f>
        <v>1.0465116279069768</v>
      </c>
      <c r="E28" s="261">
        <f>IFERROR('📥 RAW DATA INPUT'!E28/E6,"-")</f>
        <v>1.1818181818181819</v>
      </c>
      <c r="F28" s="261">
        <f>IFERROR('📥 RAW DATA INPUT'!F28/F6,"-")</f>
        <v>1.3220338983050848</v>
      </c>
      <c r="G28" s="261">
        <f>IFERROR('📥 RAW DATA INPUT'!G28/G6,"-")</f>
        <v>1.0483870967741935</v>
      </c>
      <c r="H28" s="261">
        <f>IFERROR('📥 RAW DATA INPUT'!H28/H6,"-")</f>
        <v>1.0303030303030303</v>
      </c>
      <c r="I28" s="261">
        <f>IFERROR('📥 RAW DATA INPUT'!I28/I6,"-")</f>
        <v>1.0350877192982457</v>
      </c>
      <c r="J28" s="261">
        <f>IFERROR('📥 RAW DATA INPUT'!J28/J6,"-")</f>
        <v>0.98550724637681164</v>
      </c>
      <c r="K28" s="261">
        <f>IFERROR('📥 RAW DATA INPUT'!K28/K6,"-")</f>
        <v>1.25</v>
      </c>
      <c r="L28" s="261">
        <f>IFERROR('📥 RAW DATA INPUT'!L28/L6,"-")</f>
        <v>1</v>
      </c>
      <c r="M28" s="261">
        <f>IFERROR('📥 RAW DATA INPUT'!M28/M6,"-")</f>
        <v>1.106060606060606</v>
      </c>
      <c r="N28" s="261">
        <f>IFERROR('📥 RAW DATA INPUT'!N28/N6,"-")</f>
        <v>0.9</v>
      </c>
      <c r="O28" s="262">
        <f t="shared" si="7"/>
        <v>1.0845903672369277</v>
      </c>
      <c r="P28" s="41" t="s">
        <v>426</v>
      </c>
    </row>
    <row r="31" spans="2:16" ht="30" customHeight="1" x14ac:dyDescent="0.25">
      <c r="B31" s="306" t="s">
        <v>427</v>
      </c>
      <c r="C31" s="306"/>
      <c r="D31" s="306"/>
      <c r="E31" s="306"/>
      <c r="F31" s="306"/>
      <c r="G31" s="306"/>
      <c r="H31" s="306"/>
      <c r="I31" s="306"/>
      <c r="J31" s="306"/>
      <c r="K31" s="306"/>
      <c r="L31" s="306"/>
      <c r="M31" s="306"/>
      <c r="N31" s="306"/>
      <c r="O31" s="306"/>
    </row>
    <row r="32" spans="2:16" ht="18" customHeight="1" x14ac:dyDescent="0.25">
      <c r="B32" s="324" t="s">
        <v>428</v>
      </c>
      <c r="C32" s="324"/>
      <c r="D32" s="324"/>
      <c r="E32" s="324"/>
      <c r="F32" s="324"/>
      <c r="G32" s="324"/>
      <c r="H32" s="324"/>
      <c r="I32" s="324"/>
      <c r="J32" s="324"/>
      <c r="K32" s="324"/>
      <c r="L32" s="324"/>
      <c r="M32" s="324"/>
      <c r="N32" s="324"/>
      <c r="O32" s="324"/>
    </row>
    <row r="33" spans="2:16" ht="19.5" customHeight="1" x14ac:dyDescent="0.25">
      <c r="B33" s="32" t="s">
        <v>429</v>
      </c>
      <c r="C33" s="263" t="str">
        <f>'📥 RAW DATA INPUT'!C81</f>
        <v>Apr</v>
      </c>
      <c r="D33" s="263" t="str">
        <f>'📥 RAW DATA INPUT'!D81</f>
        <v>May</v>
      </c>
      <c r="E33" s="263" t="str">
        <f>'📥 RAW DATA INPUT'!E81</f>
        <v>Jun</v>
      </c>
      <c r="F33" s="263" t="str">
        <f>'📥 RAW DATA INPUT'!F81</f>
        <v>Jul</v>
      </c>
      <c r="G33" s="263" t="str">
        <f>'📥 RAW DATA INPUT'!G81</f>
        <v>Aug</v>
      </c>
      <c r="H33" s="263" t="str">
        <f>'📥 RAW DATA INPUT'!H81</f>
        <v>Sep</v>
      </c>
      <c r="I33" s="263" t="str">
        <f>'📥 RAW DATA INPUT'!I81</f>
        <v>Oct</v>
      </c>
      <c r="J33" s="263" t="str">
        <f>'📥 RAW DATA INPUT'!J81</f>
        <v>Nov</v>
      </c>
      <c r="K33" s="263" t="str">
        <f>'📥 RAW DATA INPUT'!K81</f>
        <v>Dec</v>
      </c>
      <c r="L33" s="263" t="str">
        <f>'📥 RAW DATA INPUT'!L81</f>
        <v>Jan</v>
      </c>
      <c r="M33" s="263" t="str">
        <f>'📥 RAW DATA INPUT'!M81</f>
        <v>Feb</v>
      </c>
      <c r="N33" s="263" t="str">
        <f>'📥 RAW DATA INPUT'!N81</f>
        <v>Mar</v>
      </c>
      <c r="O33" s="264" t="str">
        <f t="shared" ref="O33:O43" si="9">IFERROR(AVERAGE(C33:N33),"-")</f>
        <v>-</v>
      </c>
    </row>
    <row r="34" spans="2:16" ht="19.5" customHeight="1" x14ac:dyDescent="0.25">
      <c r="B34" s="32" t="s">
        <v>129</v>
      </c>
      <c r="C34" s="263">
        <f>'📥 RAW DATA INPUT'!C82</f>
        <v>50</v>
      </c>
      <c r="D34" s="263">
        <f>'📥 RAW DATA INPUT'!D82</f>
        <v>53</v>
      </c>
      <c r="E34" s="263">
        <f>'📥 RAW DATA INPUT'!E82</f>
        <v>43</v>
      </c>
      <c r="F34" s="263">
        <f>'📥 RAW DATA INPUT'!F82</f>
        <v>58</v>
      </c>
      <c r="G34" s="263">
        <f>'📥 RAW DATA INPUT'!G82</f>
        <v>64</v>
      </c>
      <c r="H34" s="263">
        <f>'📥 RAW DATA INPUT'!H82</f>
        <v>49</v>
      </c>
      <c r="I34" s="263">
        <f>'📥 RAW DATA INPUT'!I82</f>
        <v>41</v>
      </c>
      <c r="J34" s="263">
        <f>'📥 RAW DATA INPUT'!J82</f>
        <v>42</v>
      </c>
      <c r="K34" s="263">
        <f>'📥 RAW DATA INPUT'!K82</f>
        <v>47</v>
      </c>
      <c r="L34" s="263">
        <f>'📥 RAW DATA INPUT'!L82</f>
        <v>56</v>
      </c>
      <c r="M34" s="263">
        <f>'📥 RAW DATA INPUT'!M82</f>
        <v>34</v>
      </c>
      <c r="N34" s="263">
        <f>'📥 RAW DATA INPUT'!N82</f>
        <v>40</v>
      </c>
      <c r="O34" s="264">
        <f t="shared" si="9"/>
        <v>48.083333333333336</v>
      </c>
    </row>
    <row r="35" spans="2:16" ht="19.5" hidden="1" customHeight="1" x14ac:dyDescent="0.25">
      <c r="B35" s="32" t="s">
        <v>430</v>
      </c>
      <c r="C35" s="265" t="str">
        <f>IFERROR('📥 RAW DATA INPUT'!C83/'📥 RAW DATA INPUT'!C81,"-")</f>
        <v>-</v>
      </c>
      <c r="D35" s="265" t="str">
        <f>IFERROR('📥 RAW DATA INPUT'!D83/'📥 RAW DATA INPUT'!D81,"-")</f>
        <v>-</v>
      </c>
      <c r="E35" s="265" t="str">
        <f>IFERROR('📥 RAW DATA INPUT'!E83/'📥 RAW DATA INPUT'!E81,"-")</f>
        <v>-</v>
      </c>
      <c r="F35" s="265" t="str">
        <f>IFERROR('📥 RAW DATA INPUT'!F83/'📥 RAW DATA INPUT'!F81,"-")</f>
        <v>-</v>
      </c>
      <c r="G35" s="265" t="str">
        <f>IFERROR('📥 RAW DATA INPUT'!G83/'📥 RAW DATA INPUT'!G81,"-")</f>
        <v>-</v>
      </c>
      <c r="H35" s="265" t="str">
        <f>IFERROR('📥 RAW DATA INPUT'!H83/'📥 RAW DATA INPUT'!H81,"-")</f>
        <v>-</v>
      </c>
      <c r="I35" s="265" t="str">
        <f>IFERROR('📥 RAW DATA INPUT'!I83/'📥 RAW DATA INPUT'!I81,"-")</f>
        <v>-</v>
      </c>
      <c r="J35" s="265" t="str">
        <f>IFERROR('📥 RAW DATA INPUT'!J83/'📥 RAW DATA INPUT'!J81,"-")</f>
        <v>-</v>
      </c>
      <c r="K35" s="265" t="str">
        <f>IFERROR('📥 RAW DATA INPUT'!K83/'📥 RAW DATA INPUT'!K81,"-")</f>
        <v>-</v>
      </c>
      <c r="L35" s="265" t="str">
        <f>IFERROR('📥 RAW DATA INPUT'!L83/'📥 RAW DATA INPUT'!L81,"-")</f>
        <v>-</v>
      </c>
      <c r="M35" s="265" t="str">
        <f>IFERROR('📥 RAW DATA INPUT'!M83/'📥 RAW DATA INPUT'!M81,"-")</f>
        <v>-</v>
      </c>
      <c r="N35" s="265" t="str">
        <f>IFERROR('📥 RAW DATA INPUT'!N83/'📥 RAW DATA INPUT'!N81,"-")</f>
        <v>-</v>
      </c>
      <c r="O35" s="266" t="str">
        <f t="shared" si="9"/>
        <v>-</v>
      </c>
      <c r="P35" s="41" t="s">
        <v>431</v>
      </c>
    </row>
    <row r="36" spans="2:16" ht="19.5" customHeight="1" x14ac:dyDescent="0.25">
      <c r="B36" s="32" t="s">
        <v>432</v>
      </c>
      <c r="C36" s="263">
        <f>'📥 RAW DATA INPUT'!C83</f>
        <v>46</v>
      </c>
      <c r="D36" s="263">
        <f>'📥 RAW DATA INPUT'!D83</f>
        <v>50</v>
      </c>
      <c r="E36" s="263">
        <f>'📥 RAW DATA INPUT'!E83</f>
        <v>66</v>
      </c>
      <c r="F36" s="263">
        <f>'📥 RAW DATA INPUT'!F83</f>
        <v>57</v>
      </c>
      <c r="G36" s="263">
        <f>'📥 RAW DATA INPUT'!G83</f>
        <v>41</v>
      </c>
      <c r="H36" s="263">
        <f>'📥 RAW DATA INPUT'!H83</f>
        <v>66</v>
      </c>
      <c r="I36" s="263">
        <f>'📥 RAW DATA INPUT'!I83</f>
        <v>43</v>
      </c>
      <c r="J36" s="263">
        <f>'📥 RAW DATA INPUT'!J83</f>
        <v>34</v>
      </c>
      <c r="K36" s="263">
        <f>'📥 RAW DATA INPUT'!K83</f>
        <v>36</v>
      </c>
      <c r="L36" s="263">
        <f>'📥 RAW DATA INPUT'!L83</f>
        <v>43</v>
      </c>
      <c r="M36" s="263">
        <f>'📥 RAW DATA INPUT'!M83</f>
        <v>66</v>
      </c>
      <c r="N36" s="263">
        <f>'📥 RAW DATA INPUT'!N83</f>
        <v>49</v>
      </c>
      <c r="O36" s="264">
        <f t="shared" si="9"/>
        <v>49.75</v>
      </c>
    </row>
    <row r="37" spans="2:16" ht="19.5" customHeight="1" x14ac:dyDescent="0.25">
      <c r="B37" s="32" t="s">
        <v>433</v>
      </c>
      <c r="C37" s="263">
        <f>'📥 RAW DATA INPUT'!C84</f>
        <v>35</v>
      </c>
      <c r="D37" s="263">
        <f>'📥 RAW DATA INPUT'!D84</f>
        <v>39</v>
      </c>
      <c r="E37" s="263">
        <f>'📥 RAW DATA INPUT'!E84</f>
        <v>38</v>
      </c>
      <c r="F37" s="263">
        <f>'📥 RAW DATA INPUT'!F84</f>
        <v>61</v>
      </c>
      <c r="G37" s="263">
        <f>'📥 RAW DATA INPUT'!G84</f>
        <v>61</v>
      </c>
      <c r="H37" s="263">
        <f>'📥 RAW DATA INPUT'!H84</f>
        <v>37</v>
      </c>
      <c r="I37" s="263">
        <f>'📥 RAW DATA INPUT'!I84</f>
        <v>63</v>
      </c>
      <c r="J37" s="263">
        <f>'📥 RAW DATA INPUT'!J84</f>
        <v>40</v>
      </c>
      <c r="K37" s="263">
        <f>'📥 RAW DATA INPUT'!K84</f>
        <v>48</v>
      </c>
      <c r="L37" s="263">
        <f>'📥 RAW DATA INPUT'!L84</f>
        <v>43</v>
      </c>
      <c r="M37" s="263">
        <f>'📥 RAW DATA INPUT'!M84</f>
        <v>52</v>
      </c>
      <c r="N37" s="263">
        <f>'📥 RAW DATA INPUT'!N84</f>
        <v>46</v>
      </c>
      <c r="O37" s="264">
        <f t="shared" si="9"/>
        <v>46.916666666666664</v>
      </c>
    </row>
    <row r="38" spans="2:16" ht="19.5" customHeight="1" x14ac:dyDescent="0.25">
      <c r="B38" s="255" t="s">
        <v>397</v>
      </c>
      <c r="C38" s="267">
        <f>IFERROR('📥 RAW DATA INPUT'!C85/'📥 RAW DATA INPUT'!C84,"-")</f>
        <v>1.4571428571428571</v>
      </c>
      <c r="D38" s="267">
        <f>IFERROR('📥 RAW DATA INPUT'!D85/'📥 RAW DATA INPUT'!D84,"-")</f>
        <v>0.84615384615384615</v>
      </c>
      <c r="E38" s="267">
        <f>IFERROR('📥 RAW DATA INPUT'!E85/'📥 RAW DATA INPUT'!E84,"-")</f>
        <v>1.3421052631578947</v>
      </c>
      <c r="F38" s="267">
        <f>IFERROR('📥 RAW DATA INPUT'!F85/'📥 RAW DATA INPUT'!F84,"-")</f>
        <v>0.68852459016393441</v>
      </c>
      <c r="G38" s="267">
        <f>IFERROR('📥 RAW DATA INPUT'!G85/'📥 RAW DATA INPUT'!G84,"-")</f>
        <v>0.65573770491803274</v>
      </c>
      <c r="H38" s="267">
        <f>IFERROR('📥 RAW DATA INPUT'!H85/'📥 RAW DATA INPUT'!H84,"-")</f>
        <v>1.7567567567567568</v>
      </c>
      <c r="I38" s="267">
        <f>IFERROR('📥 RAW DATA INPUT'!I85/'📥 RAW DATA INPUT'!I84,"-")</f>
        <v>0.84126984126984128</v>
      </c>
      <c r="J38" s="267">
        <f>IFERROR('📥 RAW DATA INPUT'!J85/'📥 RAW DATA INPUT'!J84,"-")</f>
        <v>0.875</v>
      </c>
      <c r="K38" s="267">
        <f>IFERROR('📥 RAW DATA INPUT'!K85/'📥 RAW DATA INPUT'!K84,"-")</f>
        <v>0.91666666666666663</v>
      </c>
      <c r="L38" s="267">
        <f>IFERROR('📥 RAW DATA INPUT'!L85/'📥 RAW DATA INPUT'!L84,"-")</f>
        <v>0.83720930232558144</v>
      </c>
      <c r="M38" s="267">
        <f>IFERROR('📥 RAW DATA INPUT'!M85/'📥 RAW DATA INPUT'!M84,"-")</f>
        <v>0.98076923076923073</v>
      </c>
      <c r="N38" s="267">
        <f>IFERROR('📥 RAW DATA INPUT'!N85/'📥 RAW DATA INPUT'!N84,"-")</f>
        <v>1.4130434782608696</v>
      </c>
      <c r="O38" s="268">
        <f t="shared" si="9"/>
        <v>1.0508649614654593</v>
      </c>
      <c r="P38" s="41" t="s">
        <v>434</v>
      </c>
    </row>
    <row r="39" spans="2:16" ht="19.5" customHeight="1" x14ac:dyDescent="0.25">
      <c r="B39" s="242" t="s">
        <v>435</v>
      </c>
      <c r="C39" s="269">
        <f>IFERROR('📥 RAW DATA INPUT'!C23*1000/'📥 RAW DATA INPUT'!C84,"-")</f>
        <v>113828.57142857143</v>
      </c>
      <c r="D39" s="269">
        <f>IFERROR('📥 RAW DATA INPUT'!D23*1000/'📥 RAW DATA INPUT'!D84,"-")</f>
        <v>97000</v>
      </c>
      <c r="E39" s="269">
        <f>IFERROR('📥 RAW DATA INPUT'!E23*1000/'📥 RAW DATA INPUT'!E84,"-")</f>
        <v>88000</v>
      </c>
      <c r="F39" s="269">
        <f>IFERROR('📥 RAW DATA INPUT'!F23*1000/'📥 RAW DATA INPUT'!F84,"-")</f>
        <v>66590.163934426237</v>
      </c>
      <c r="G39" s="269">
        <f>IFERROR('📥 RAW DATA INPUT'!G23*1000/'📥 RAW DATA INPUT'!G84,"-")</f>
        <v>63377.049180327871</v>
      </c>
      <c r="H39" s="269">
        <f>IFERROR('📥 RAW DATA INPUT'!H23*1000/'📥 RAW DATA INPUT'!H84,"-")</f>
        <v>94621.621621621627</v>
      </c>
      <c r="I39" s="269">
        <f>IFERROR('📥 RAW DATA INPUT'!I23*1000/'📥 RAW DATA INPUT'!I84,"-")</f>
        <v>61650.793650793654</v>
      </c>
      <c r="J39" s="269">
        <f>IFERROR('📥 RAW DATA INPUT'!J23*1000/'📥 RAW DATA INPUT'!J84,"-")</f>
        <v>102025</v>
      </c>
      <c r="K39" s="269">
        <f>IFERROR('📥 RAW DATA INPUT'!K23*1000/'📥 RAW DATA INPUT'!K84,"-")</f>
        <v>82833.333333333328</v>
      </c>
      <c r="L39" s="269">
        <f>IFERROR('📥 RAW DATA INPUT'!L23*1000/'📥 RAW DATA INPUT'!L84,"-")</f>
        <v>87604.651162790702</v>
      </c>
      <c r="M39" s="269">
        <f>IFERROR('📥 RAW DATA INPUT'!M23*1000/'📥 RAW DATA INPUT'!M84,"-")</f>
        <v>75557.692307692312</v>
      </c>
      <c r="N39" s="269">
        <f>IFERROR('📥 RAW DATA INPUT'!N23*1000/'📥 RAW DATA INPUT'!N84,"-")</f>
        <v>124217.39130434782</v>
      </c>
      <c r="O39" s="270">
        <f t="shared" si="9"/>
        <v>88108.855660325426</v>
      </c>
    </row>
    <row r="40" spans="2:16" ht="19.5" customHeight="1" x14ac:dyDescent="0.25">
      <c r="B40" s="250" t="s">
        <v>436</v>
      </c>
      <c r="C40" s="271">
        <f>'📥 RAW DATA INPUT'!C87</f>
        <v>55</v>
      </c>
      <c r="D40" s="271">
        <f>'📥 RAW DATA INPUT'!D87</f>
        <v>34</v>
      </c>
      <c r="E40" s="271">
        <f>'📥 RAW DATA INPUT'!E87</f>
        <v>65</v>
      </c>
      <c r="F40" s="271">
        <f>'📥 RAW DATA INPUT'!F87</f>
        <v>41</v>
      </c>
      <c r="G40" s="271">
        <f>'📥 RAW DATA INPUT'!G87</f>
        <v>59</v>
      </c>
      <c r="H40" s="271">
        <f>'📥 RAW DATA INPUT'!H87</f>
        <v>43</v>
      </c>
      <c r="I40" s="271">
        <f>'📥 RAW DATA INPUT'!I87</f>
        <v>55</v>
      </c>
      <c r="J40" s="271">
        <f>'📥 RAW DATA INPUT'!J87</f>
        <v>42</v>
      </c>
      <c r="K40" s="271">
        <f>'📥 RAW DATA INPUT'!K87</f>
        <v>64</v>
      </c>
      <c r="L40" s="271">
        <f>'📥 RAW DATA INPUT'!L87</f>
        <v>48</v>
      </c>
      <c r="M40" s="271">
        <f>'📥 RAW DATA INPUT'!M87</f>
        <v>52</v>
      </c>
      <c r="N40" s="271">
        <f>'📥 RAW DATA INPUT'!N87</f>
        <v>40</v>
      </c>
      <c r="O40" s="272">
        <f t="shared" si="9"/>
        <v>49.833333333333336</v>
      </c>
      <c r="P40" s="41" t="s">
        <v>437</v>
      </c>
    </row>
    <row r="41" spans="2:16" ht="19.5" customHeight="1" x14ac:dyDescent="0.25">
      <c r="B41" s="250" t="s">
        <v>438</v>
      </c>
      <c r="C41" s="273">
        <f>IFERROR('📥 RAW DATA INPUT'!C87/('📥 RAW DATA INPUT'!C23*1000/MAX('📥 RAW DATA INPUT'!C84,1)),"-")</f>
        <v>4.8318273092369475E-4</v>
      </c>
      <c r="D41" s="273">
        <f>IFERROR('📥 RAW DATA INPUT'!D87/('📥 RAW DATA INPUT'!D23*1000/MAX('📥 RAW DATA INPUT'!D84,1)),"-")</f>
        <v>3.5051546391752579E-4</v>
      </c>
      <c r="E41" s="273">
        <f>IFERROR('📥 RAW DATA INPUT'!E87/('📥 RAW DATA INPUT'!E23*1000/MAX('📥 RAW DATA INPUT'!E84,1)),"-")</f>
        <v>7.3863636363636362E-4</v>
      </c>
      <c r="F41" s="273">
        <f>IFERROR('📥 RAW DATA INPUT'!F87/('📥 RAW DATA INPUT'!F23*1000/MAX('📥 RAW DATA INPUT'!F84,1)),"-")</f>
        <v>6.1570654849827668E-4</v>
      </c>
      <c r="G41" s="273">
        <f>IFERROR('📥 RAW DATA INPUT'!G87/('📥 RAW DATA INPUT'!G23*1000/MAX('📥 RAW DATA INPUT'!G84,1)),"-")</f>
        <v>9.3093636833936882E-4</v>
      </c>
      <c r="H41" s="273">
        <f>IFERROR('📥 RAW DATA INPUT'!H87/('📥 RAW DATA INPUT'!H23*1000/MAX('📥 RAW DATA INPUT'!H84,1)),"-")</f>
        <v>4.5444158811768062E-4</v>
      </c>
      <c r="I41" s="273">
        <f>IFERROR('📥 RAW DATA INPUT'!I87/('📥 RAW DATA INPUT'!I23*1000/MAX('📥 RAW DATA INPUT'!I84,1)),"-")</f>
        <v>8.9212152420185375E-4</v>
      </c>
      <c r="J41" s="273">
        <f>IFERROR('📥 RAW DATA INPUT'!J87/('📥 RAW DATA INPUT'!J23*1000/MAX('📥 RAW DATA INPUT'!J84,1)),"-")</f>
        <v>4.1166380789022297E-4</v>
      </c>
      <c r="K41" s="273">
        <f>IFERROR('📥 RAW DATA INPUT'!K87/('📥 RAW DATA INPUT'!K23*1000/MAX('📥 RAW DATA INPUT'!K84,1)),"-")</f>
        <v>7.7263581488933605E-4</v>
      </c>
      <c r="L41" s="273">
        <f>IFERROR('📥 RAW DATA INPUT'!L87/('📥 RAW DATA INPUT'!L23*1000/MAX('📥 RAW DATA INPUT'!L84,1)),"-")</f>
        <v>5.4791611361826385E-4</v>
      </c>
      <c r="M41" s="273">
        <f>IFERROR('📥 RAW DATA INPUT'!M87/('📥 RAW DATA INPUT'!M23*1000/MAX('📥 RAW DATA INPUT'!M84,1)),"-")</f>
        <v>6.8821583100025445E-4</v>
      </c>
      <c r="N41" s="273">
        <f>IFERROR('📥 RAW DATA INPUT'!N87/('📥 RAW DATA INPUT'!N23*1000/MAX('📥 RAW DATA INPUT'!N84,1)),"-")</f>
        <v>3.2201610080504026E-4</v>
      </c>
      <c r="O41" s="274">
        <f t="shared" si="9"/>
        <v>6.0066568798649016E-4</v>
      </c>
      <c r="P41" s="41" t="s">
        <v>439</v>
      </c>
    </row>
    <row r="42" spans="2:16" ht="19.5" customHeight="1" x14ac:dyDescent="0.25">
      <c r="B42" s="252" t="s">
        <v>242</v>
      </c>
      <c r="C42" s="261">
        <f>IFERROR(('📥 RAW DATA INPUT'!C23*1000/MAX('📥 RAW DATA INPUT'!C84,1)*24)/'📥 RAW DATA INPUT'!C87,"-")</f>
        <v>49670.649350649357</v>
      </c>
      <c r="D42" s="261">
        <f>IFERROR(('📥 RAW DATA INPUT'!D23*1000/MAX('📥 RAW DATA INPUT'!D84,1)*24)/'📥 RAW DATA INPUT'!D87,"-")</f>
        <v>68470.588235294112</v>
      </c>
      <c r="E42" s="261">
        <f>IFERROR(('📥 RAW DATA INPUT'!E23*1000/MAX('📥 RAW DATA INPUT'!E84,1)*24)/'📥 RAW DATA INPUT'!E87,"-")</f>
        <v>32492.307692307691</v>
      </c>
      <c r="F42" s="261">
        <f>IFERROR(('📥 RAW DATA INPUT'!F23*1000/MAX('📥 RAW DATA INPUT'!F84,1)*24)/'📥 RAW DATA INPUT'!F87,"-")</f>
        <v>38979.608156737311</v>
      </c>
      <c r="G42" s="261">
        <f>IFERROR(('📥 RAW DATA INPUT'!G23*1000/MAX('📥 RAW DATA INPUT'!G84,1)*24)/'📥 RAW DATA INPUT'!G87,"-")</f>
        <v>25780.494581828287</v>
      </c>
      <c r="H42" s="261">
        <f>IFERROR(('📥 RAW DATA INPUT'!H23*1000/MAX('📥 RAW DATA INPUT'!H84,1)*24)/'📥 RAW DATA INPUT'!H87,"-")</f>
        <v>52812.067881835319</v>
      </c>
      <c r="I42" s="261">
        <f>IFERROR(('📥 RAW DATA INPUT'!I23*1000/MAX('📥 RAW DATA INPUT'!I84,1)*24)/'📥 RAW DATA INPUT'!I87,"-")</f>
        <v>26902.164502164502</v>
      </c>
      <c r="J42" s="261">
        <f>IFERROR(('📥 RAW DATA INPUT'!J23*1000/MAX('📥 RAW DATA INPUT'!J84,1)*24)/'📥 RAW DATA INPUT'!J87,"-")</f>
        <v>58300</v>
      </c>
      <c r="K42" s="261">
        <f>IFERROR(('📥 RAW DATA INPUT'!K23*1000/MAX('📥 RAW DATA INPUT'!K84,1)*24)/'📥 RAW DATA INPUT'!K87,"-")</f>
        <v>31062.5</v>
      </c>
      <c r="L42" s="261">
        <f>IFERROR(('📥 RAW DATA INPUT'!L23*1000/MAX('📥 RAW DATA INPUT'!L84,1)*24)/'📥 RAW DATA INPUT'!L87,"-")</f>
        <v>43802.325581395351</v>
      </c>
      <c r="M42" s="261">
        <f>IFERROR(('📥 RAW DATA INPUT'!M23*1000/MAX('📥 RAW DATA INPUT'!M84,1)*24)/'📥 RAW DATA INPUT'!M87,"-")</f>
        <v>34872.781065088762</v>
      </c>
      <c r="N42" s="261">
        <f>IFERROR(('📥 RAW DATA INPUT'!N23*1000/MAX('📥 RAW DATA INPUT'!N84,1)*24)/'📥 RAW DATA INPUT'!N87,"-")</f>
        <v>74530.434782608689</v>
      </c>
      <c r="O42" s="275">
        <f t="shared" si="9"/>
        <v>44806.32681915912</v>
      </c>
      <c r="P42" s="41" t="s">
        <v>440</v>
      </c>
    </row>
    <row r="43" spans="2:16" ht="19.5" customHeight="1" x14ac:dyDescent="0.25">
      <c r="B43" s="255" t="s">
        <v>245</v>
      </c>
      <c r="C43" s="276">
        <f>IFERROR(ABS('📥 RAW DATA INPUT'!C23-'📥 RAW DATA INPUT'!C38)/MAX('📥 RAW DATA INPUT'!C23,1),"-")</f>
        <v>0.81174698795180722</v>
      </c>
      <c r="D43" s="276">
        <f>IFERROR(ABS('📥 RAW DATA INPUT'!D23-'📥 RAW DATA INPUT'!D38)/MAX('📥 RAW DATA INPUT'!D23,1),"-")</f>
        <v>0.79249273063706049</v>
      </c>
      <c r="E43" s="276">
        <f>IFERROR(ABS('📥 RAW DATA INPUT'!E23-'📥 RAW DATA INPUT'!E38)/MAX('📥 RAW DATA INPUT'!E23,1),"-")</f>
        <v>0.79844497607655507</v>
      </c>
      <c r="F43" s="276">
        <f>IFERROR(ABS('📥 RAW DATA INPUT'!F23-'📥 RAW DATA INPUT'!F38)/MAX('📥 RAW DATA INPUT'!F23,1),"-")</f>
        <v>0.80305268340718861</v>
      </c>
      <c r="G43" s="276">
        <f>IFERROR(ABS('📥 RAW DATA INPUT'!G23-'📥 RAW DATA INPUT'!G38)/MAX('📥 RAW DATA INPUT'!G23,1),"-")</f>
        <v>0.80600103466114847</v>
      </c>
      <c r="H43" s="276">
        <f>IFERROR(ABS('📥 RAW DATA INPUT'!H23-'📥 RAW DATA INPUT'!H38)/MAX('📥 RAW DATA INPUT'!H23,1),"-")</f>
        <v>0.77292202227934881</v>
      </c>
      <c r="I43" s="276">
        <f>IFERROR(ABS('📥 RAW DATA INPUT'!I23-'📥 RAW DATA INPUT'!I38)/MAX('📥 RAW DATA INPUT'!I23,1),"-")</f>
        <v>0.80278063851699277</v>
      </c>
      <c r="J43" s="276">
        <f>IFERROR(ABS('📥 RAW DATA INPUT'!J23-'📥 RAW DATA INPUT'!J38)/MAX('📥 RAW DATA INPUT'!J23,1),"-")</f>
        <v>0.8304337172261701</v>
      </c>
      <c r="K43" s="276">
        <f>IFERROR(ABS('📥 RAW DATA INPUT'!K23-'📥 RAW DATA INPUT'!K38)/MAX('📥 RAW DATA INPUT'!K23,1),"-")</f>
        <v>0.81413480885311873</v>
      </c>
      <c r="L43" s="276">
        <f>IFERROR(ABS('📥 RAW DATA INPUT'!L23-'📥 RAW DATA INPUT'!L38)/MAX('📥 RAW DATA INPUT'!L23,1),"-")</f>
        <v>0.80063711176002128</v>
      </c>
      <c r="M43" s="276">
        <f>IFERROR(ABS('📥 RAW DATA INPUT'!M23-'📥 RAW DATA INPUT'!M38)/MAX('📥 RAW DATA INPUT'!M23,1),"-")</f>
        <v>0.81471112242300836</v>
      </c>
      <c r="N43" s="276">
        <f>IFERROR(ABS('📥 RAW DATA INPUT'!N23-'📥 RAW DATA INPUT'!N38)/MAX('📥 RAW DATA INPUT'!N23,1),"-")</f>
        <v>0.85981799089954503</v>
      </c>
      <c r="O43" s="277">
        <f t="shared" si="9"/>
        <v>0.80893131872433033</v>
      </c>
      <c r="P43" s="41" t="s">
        <v>441</v>
      </c>
    </row>
    <row r="46" spans="2:16" ht="30" customHeight="1" x14ac:dyDescent="0.25">
      <c r="B46" s="310" t="s">
        <v>442</v>
      </c>
      <c r="C46" s="310"/>
      <c r="D46" s="310"/>
      <c r="E46" s="310"/>
      <c r="F46" s="310"/>
      <c r="G46" s="310"/>
      <c r="H46" s="310"/>
      <c r="I46" s="310"/>
      <c r="J46" s="310"/>
      <c r="K46" s="310"/>
      <c r="L46" s="310"/>
      <c r="M46" s="310"/>
      <c r="N46" s="310"/>
      <c r="O46" s="310"/>
    </row>
    <row r="47" spans="2:16" ht="19.5" customHeight="1" x14ac:dyDescent="0.25">
      <c r="B47" s="258" t="s">
        <v>443</v>
      </c>
      <c r="C47" s="278">
        <f>IFERROR(C10/'💰 P&amp;L SUMMARY'!O25,"-")</f>
        <v>88.677020090421564</v>
      </c>
      <c r="D47" s="278">
        <f>IFERROR(D10/'💰 P&amp;L SUMMARY'!O25,"-")</f>
        <v>112.01307800895356</v>
      </c>
      <c r="E47" s="278">
        <f>IFERROR(E10/'💰 P&amp;L SUMMARY'!O25,"-")</f>
        <v>104.23439203610955</v>
      </c>
      <c r="F47" s="278">
        <f>IFERROR(F10/'💰 P&amp;L SUMMARY'!O25,"-")</f>
        <v>118.23602678722875</v>
      </c>
      <c r="G47" s="278">
        <f>IFERROR(G10/'💰 P&amp;L SUMMARY'!O25,"-")</f>
        <v>121.34750117636635</v>
      </c>
      <c r="H47" s="278">
        <f>IFERROR(H10/'💰 P&amp;L SUMMARY'!O25,"-")</f>
        <v>101.12291764697196</v>
      </c>
      <c r="I47" s="278">
        <f>IFERROR(I10/'💰 P&amp;L SUMMARY'!O25,"-")</f>
        <v>124.45897556550395</v>
      </c>
      <c r="J47" s="278">
        <f>IFERROR(J10/'💰 P&amp;L SUMMARY'!O25,"-")</f>
        <v>88.677020090421564</v>
      </c>
      <c r="K47" s="278">
        <f>IFERROR(K10/'💰 P&amp;L SUMMARY'!O25,"-")</f>
        <v>101.12291764697196</v>
      </c>
      <c r="L47" s="278">
        <f>IFERROR(L10/'💰 P&amp;L SUMMARY'!O25,"-")</f>
        <v>107.34586642524715</v>
      </c>
      <c r="M47" s="278">
        <f>IFERROR(M10/'💰 P&amp;L SUMMARY'!O25,"-")</f>
        <v>94.89996886869676</v>
      </c>
      <c r="N47" s="278">
        <f>IFERROR(N10/'💰 P&amp;L SUMMARY'!O25,"-")</f>
        <v>136.90487312205434</v>
      </c>
      <c r="O47" s="279">
        <f t="shared" ref="O47:O55" si="10">IFERROR(AVERAGE(C47:N47),"-")</f>
        <v>108.25337978874562</v>
      </c>
      <c r="P47" s="41" t="s">
        <v>444</v>
      </c>
    </row>
    <row r="48" spans="2:16" ht="19.5" customHeight="1" x14ac:dyDescent="0.25">
      <c r="B48" s="258" t="s">
        <v>445</v>
      </c>
      <c r="C48" s="259">
        <f>IFERROR('💰 P&amp;L SUMMARY'!C20/MAX(ABS('💰 P&amp;L SUMMARY'!C21),1),"-")</f>
        <v>80</v>
      </c>
      <c r="D48" s="259">
        <f>IFERROR('💰 P&amp;L SUMMARY'!D20/MAX(ABS('💰 P&amp;L SUMMARY'!D21),1),"-")</f>
        <v>75.976744186046517</v>
      </c>
      <c r="E48" s="259">
        <f>IFERROR('💰 P&amp;L SUMMARY'!E20/MAX(ABS('💰 P&amp;L SUMMARY'!E21),1),"-")</f>
        <v>69.285714285714292</v>
      </c>
      <c r="F48" s="259">
        <f>IFERROR('💰 P&amp;L SUMMARY'!F20/MAX(ABS('💰 P&amp;L SUMMARY'!F21),1),"-")</f>
        <v>105.6969696969697</v>
      </c>
      <c r="G48" s="259">
        <f>IFERROR('💰 P&amp;L SUMMARY'!G20/MAX(ABS('💰 P&amp;L SUMMARY'!G21),1),"-")</f>
        <v>88.55263157894737</v>
      </c>
      <c r="H48" s="259">
        <f>IFERROR('💰 P&amp;L SUMMARY'!H20/MAX(ABS('💰 P&amp;L SUMMARY'!H21),1),"-")</f>
        <v>77.84210526315789</v>
      </c>
      <c r="I48" s="259">
        <f>IFERROR('💰 P&amp;L SUMMARY'!I20/MAX(ABS('💰 P&amp;L SUMMARY'!I21),1),"-")</f>
        <v>80.902439024390247</v>
      </c>
      <c r="J48" s="259">
        <f>IFERROR('💰 P&amp;L SUMMARY'!J20/MAX(ABS('💰 P&amp;L SUMMARY'!J21),1),"-")</f>
        <v>100.02777777777777</v>
      </c>
      <c r="K48" s="259">
        <f>IFERROR('💰 P&amp;L SUMMARY'!K20/MAX(ABS('💰 P&amp;L SUMMARY'!K21),1),"-")</f>
        <v>101.73529411764706</v>
      </c>
      <c r="L48" s="259">
        <f>IFERROR('💰 P&amp;L SUMMARY'!L20/MAX(ABS('💰 P&amp;L SUMMARY'!L21),1),"-")</f>
        <v>71.777777777777771</v>
      </c>
      <c r="M48" s="259">
        <f>IFERROR('💰 P&amp;L SUMMARY'!M20/MAX(ABS('💰 P&amp;L SUMMARY'!M21),1),"-")</f>
        <v>79.302325581395351</v>
      </c>
      <c r="N48" s="259">
        <f>IFERROR('💰 P&amp;L SUMMARY'!N20/MAX(ABS('💰 P&amp;L SUMMARY'!N21),1),"-")</f>
        <v>120.04651162790698</v>
      </c>
      <c r="O48" s="280">
        <f t="shared" si="10"/>
        <v>87.595524243144268</v>
      </c>
      <c r="P48" s="41" t="s">
        <v>446</v>
      </c>
    </row>
    <row r="49" spans="2:16" ht="19.5" customHeight="1" x14ac:dyDescent="0.25">
      <c r="B49" s="252" t="s">
        <v>447</v>
      </c>
      <c r="C49" s="281">
        <f>IFERROR('💰 P&amp;L SUMMARY'!C24*12/'📥 RAW DATA INPUT'!C23,"-")</f>
        <v>7.6739457831325302</v>
      </c>
      <c r="D49" s="281">
        <f>IFERROR('💰 P&amp;L SUMMARY'!D24*12/'📥 RAW DATA INPUT'!E23,"-")</f>
        <v>8.6770334928229662</v>
      </c>
      <c r="E49" s="281">
        <f>IFERROR('💰 P&amp;L SUMMARY'!E24*12/'📥 RAW DATA INPUT'!E23,"-")</f>
        <v>7.7188995215311005</v>
      </c>
      <c r="F49" s="281">
        <f>IFERROR('💰 P&amp;L SUMMARY'!F24*12/'📥 RAW DATA INPUT'!F23,"-")</f>
        <v>7.6550960118168394</v>
      </c>
      <c r="G49" s="281">
        <f>IFERROR('💰 P&amp;L SUMMARY'!G24*12/'📥 RAW DATA INPUT'!G23,"-")</f>
        <v>7.7452146921883083</v>
      </c>
      <c r="H49" s="281">
        <f>IFERROR('💰 P&amp;L SUMMARY'!H24*12/'📥 RAW DATA INPUT'!H23,"-")</f>
        <v>7.5064267352185086</v>
      </c>
      <c r="I49" s="281">
        <f>IFERROR('💰 P&amp;L SUMMARY'!I24*12/'📥 RAW DATA INPUT'!I23,"-")</f>
        <v>7.5911431513903196</v>
      </c>
      <c r="J49" s="281">
        <f>IFERROR('💰 P&amp;L SUMMARY'!J24*12/'📥 RAW DATA INPUT'!J23,"-")</f>
        <v>7.862043616760598</v>
      </c>
      <c r="K49" s="281">
        <f>IFERROR('💰 P&amp;L SUMMARY'!K24*12/'📥 RAW DATA INPUT'!K23,"-")</f>
        <v>7.7527665995975852</v>
      </c>
      <c r="L49" s="281">
        <f>IFERROR('💰 P&amp;L SUMMARY'!L24*12/'📥 RAW DATA INPUT'!L23,"-")</f>
        <v>7.60950358375365</v>
      </c>
      <c r="M49" s="281">
        <f>IFERROR('💰 P&amp;L SUMMARY'!M24*12/'📥 RAW DATA INPUT'!M23,"-")</f>
        <v>7.7126495291422756</v>
      </c>
      <c r="N49" s="281">
        <f>IFERROR('💰 P&amp;L SUMMARY'!N24*12/'📥 RAW DATA INPUT'!N23,"-")</f>
        <v>8.0628281414070706</v>
      </c>
      <c r="O49" s="282">
        <f t="shared" si="10"/>
        <v>7.7972959048968136</v>
      </c>
      <c r="P49" s="41" t="s">
        <v>448</v>
      </c>
    </row>
    <row r="50" spans="2:16" ht="19.5" customHeight="1" x14ac:dyDescent="0.25">
      <c r="B50" s="252" t="s">
        <v>449</v>
      </c>
      <c r="C50" s="281">
        <f>IFERROR(('📥 RAW DATA INPUT'!C23-'📥 RAW DATA INPUT'!D23)/'📥 RAW DATA INPUT'!D23,"-")</f>
        <v>5.3132434575733543E-2</v>
      </c>
      <c r="D50" s="281">
        <f>IFERROR(('📥 RAW DATA INPUT'!E23-'📥 RAW DATA INPUT'!E23)/'📥 RAW DATA INPUT'!E23,"-")</f>
        <v>0</v>
      </c>
      <c r="E50" s="281">
        <f>IFERROR(('📥 RAW DATA INPUT'!E23-'📥 RAW DATA INPUT'!F23)/'📥 RAW DATA INPUT'!F23,"-")</f>
        <v>-0.17676021664204825</v>
      </c>
      <c r="F50" s="281">
        <f>IFERROR(('📥 RAW DATA INPUT'!F23-'📥 RAW DATA INPUT'!G23)/'📥 RAW DATA INPUT'!G23,"-")</f>
        <v>5.0698396275219867E-2</v>
      </c>
      <c r="G50" s="281">
        <f>IFERROR(('📥 RAW DATA INPUT'!G23-'📥 RAW DATA INPUT'!H23)/'📥 RAW DATA INPUT'!H23,"-")</f>
        <v>0.10425592687803485</v>
      </c>
      <c r="H50" s="281">
        <f>IFERROR(('📥 RAW DATA INPUT'!H23-'📥 RAW DATA INPUT'!I23)/'📥 RAW DATA INPUT'!I23,"-")</f>
        <v>-9.86096807415036E-2</v>
      </c>
      <c r="I50" s="281">
        <f>IFERROR(('📥 RAW DATA INPUT'!I23-'📥 RAW DATA INPUT'!J23)/'📥 RAW DATA INPUT'!J23,"-")</f>
        <v>-4.8272482234746387E-2</v>
      </c>
      <c r="J50" s="281">
        <f>IFERROR(('📥 RAW DATA INPUT'!J23-'📥 RAW DATA INPUT'!K23)/'📥 RAW DATA INPUT'!K23,"-")</f>
        <v>2.6408450704225352E-2</v>
      </c>
      <c r="K50" s="281">
        <f>IFERROR(('📥 RAW DATA INPUT'!K23-'📥 RAW DATA INPUT'!L23)/'📥 RAW DATA INPUT'!L23,"-")</f>
        <v>5.548181576851606E-2</v>
      </c>
      <c r="L50" s="281">
        <f>IFERROR(('📥 RAW DATA INPUT'!L23-'📥 RAW DATA INPUT'!M23)/'📥 RAW DATA INPUT'!M23,"-")</f>
        <v>-4.1231865614660218E-2</v>
      </c>
      <c r="M50" s="281">
        <f>IFERROR(('📥 RAW DATA INPUT'!M23-'📥 RAW DATA INPUT'!N23)/'📥 RAW DATA INPUT'!N23,"-")</f>
        <v>-0.31239061953097658</v>
      </c>
      <c r="N50" s="281" t="str">
        <f>IFERROR(('📥 RAW DATA INPUT'!N23-'📥 RAW DATA INPUT'!O23)/'📥 RAW DATA INPUT'!O23,"-")</f>
        <v>-</v>
      </c>
      <c r="O50" s="282">
        <f t="shared" si="10"/>
        <v>-3.5207985505655029E-2</v>
      </c>
      <c r="P50" s="41" t="s">
        <v>450</v>
      </c>
    </row>
    <row r="51" spans="2:16" ht="19.5" customHeight="1" x14ac:dyDescent="0.25">
      <c r="B51" s="242" t="s">
        <v>279</v>
      </c>
      <c r="C51" s="283">
        <f>'💰 P&amp;L SUMMARY'!C9</f>
        <v>0.98217871485943775</v>
      </c>
      <c r="D51" s="283">
        <f>'💰 P&amp;L SUMMARY'!D9</f>
        <v>0.9762093576526566</v>
      </c>
      <c r="E51" s="283">
        <f>'💰 P&amp;L SUMMARY'!E9</f>
        <v>0.97667464114832536</v>
      </c>
      <c r="F51" s="283">
        <f>'💰 P&amp;L SUMMARY'!F9</f>
        <v>0.98079763663220088</v>
      </c>
      <c r="G51" s="283">
        <f>'💰 P&amp;L SUMMARY'!G9</f>
        <v>0.98318675633729957</v>
      </c>
      <c r="H51" s="283">
        <f>'💰 P&amp;L SUMMARY'!H9</f>
        <v>0.98057697800628396</v>
      </c>
      <c r="I51" s="283">
        <f>'💰 P&amp;L SUMMARY'!I9</f>
        <v>0.98480947476828007</v>
      </c>
      <c r="J51" s="283">
        <f>'💰 P&amp;L SUMMARY'!J9</f>
        <v>0.98333741729968149</v>
      </c>
      <c r="K51" s="283">
        <f>'💰 P&amp;L SUMMARY'!K9</f>
        <v>0.97862173038229372</v>
      </c>
      <c r="L51" s="283">
        <f>'💰 P&amp;L SUMMARY'!L9</f>
        <v>0.97690469869923013</v>
      </c>
      <c r="M51" s="283">
        <f>'💰 P&amp;L SUMMARY'!M9</f>
        <v>0.98142020870450497</v>
      </c>
      <c r="N51" s="283">
        <f>'💰 P&amp;L SUMMARY'!N9</f>
        <v>0.98739936996849842</v>
      </c>
      <c r="O51" s="284">
        <f t="shared" si="10"/>
        <v>0.98100974870489088</v>
      </c>
      <c r="P51" s="41" t="s">
        <v>451</v>
      </c>
    </row>
    <row r="52" spans="2:16" ht="19.5" customHeight="1" x14ac:dyDescent="0.25">
      <c r="B52" s="242" t="s">
        <v>283</v>
      </c>
      <c r="C52" s="283">
        <f>'💰 P&amp;L SUMMARY'!C18</f>
        <v>0.88353413654618473</v>
      </c>
      <c r="D52" s="283">
        <f>'💰 P&amp;L SUMMARY'!D18</f>
        <v>0.88421887390959553</v>
      </c>
      <c r="E52" s="283">
        <f>'💰 P&amp;L SUMMARY'!E18</f>
        <v>0.88755980861244022</v>
      </c>
      <c r="F52" s="283">
        <f>'💰 P&amp;L SUMMARY'!F18</f>
        <v>0.88109305760709011</v>
      </c>
      <c r="G52" s="283">
        <f>'💰 P&amp;L SUMMARY'!G18</f>
        <v>0.88670460424211073</v>
      </c>
      <c r="H52" s="283">
        <f>'💰 P&amp;L SUMMARY'!H18</f>
        <v>0.87175092830619827</v>
      </c>
      <c r="I52" s="283">
        <f>'💰 P&amp;L SUMMARY'!I18</f>
        <v>0.87564366632337798</v>
      </c>
      <c r="J52" s="283">
        <f>'💰 P&amp;L SUMMARY'!J18</f>
        <v>0.89879931389365353</v>
      </c>
      <c r="K52" s="283">
        <f>'💰 P&amp;L SUMMARY'!K18</f>
        <v>0.88631790744466799</v>
      </c>
      <c r="L52" s="283">
        <f>'💰 P&amp;L SUMMARY'!L18</f>
        <v>0.87894876559596491</v>
      </c>
      <c r="M52" s="283">
        <f>'💰 P&amp;L SUMMARY'!M18</f>
        <v>0.89233901756172052</v>
      </c>
      <c r="N52" s="283">
        <f>'💰 P&amp;L SUMMARY'!N18</f>
        <v>0.91984599229961495</v>
      </c>
      <c r="O52" s="284">
        <f t="shared" si="10"/>
        <v>0.88722967269521835</v>
      </c>
      <c r="P52" s="41" t="s">
        <v>452</v>
      </c>
    </row>
    <row r="53" spans="2:16" ht="19.5" customHeight="1" x14ac:dyDescent="0.25">
      <c r="B53" s="242" t="s">
        <v>453</v>
      </c>
      <c r="C53" s="283">
        <f>'💰 P&amp;L SUMMARY'!C25</f>
        <v>0.63949548192771088</v>
      </c>
      <c r="D53" s="283">
        <f>'💰 P&amp;L SUMMARY'!D25</f>
        <v>0.63917525773195871</v>
      </c>
      <c r="E53" s="283">
        <f>'💰 P&amp;L SUMMARY'!E25</f>
        <v>0.64324162679425834</v>
      </c>
      <c r="F53" s="283">
        <f>'💰 P&amp;L SUMMARY'!F25</f>
        <v>0.63792466765140321</v>
      </c>
      <c r="G53" s="283">
        <f>'💰 P&amp;L SUMMARY'!G25</f>
        <v>0.64543455768235902</v>
      </c>
      <c r="H53" s="283">
        <f>'💰 P&amp;L SUMMARY'!H25</f>
        <v>0.62553556126820908</v>
      </c>
      <c r="I53" s="283">
        <f>'💰 P&amp;L SUMMARY'!I25</f>
        <v>0.63259526261585997</v>
      </c>
      <c r="J53" s="283">
        <f>'💰 P&amp;L SUMMARY'!J25</f>
        <v>0.6551703013967165</v>
      </c>
      <c r="K53" s="283">
        <f>'💰 P&amp;L SUMMARY'!K25</f>
        <v>0.6460638832997988</v>
      </c>
      <c r="L53" s="283">
        <f>'💰 P&amp;L SUMMARY'!L25</f>
        <v>0.63412529864613754</v>
      </c>
      <c r="M53" s="283">
        <f>'💰 P&amp;L SUMMARY'!M25</f>
        <v>0.64272079409518956</v>
      </c>
      <c r="N53" s="283">
        <f>'💰 P&amp;L SUMMARY'!N25</f>
        <v>0.67190234511725588</v>
      </c>
      <c r="O53" s="284">
        <f t="shared" si="10"/>
        <v>0.64278208651890467</v>
      </c>
      <c r="P53" s="41" t="s">
        <v>454</v>
      </c>
    </row>
    <row r="54" spans="2:16" ht="19.5" customHeight="1" x14ac:dyDescent="0.25">
      <c r="B54" s="250" t="s">
        <v>455</v>
      </c>
      <c r="C54" s="285">
        <f>IFERROR('💰 P&amp;L SUMMARY'!C16/'💰 P&amp;L SUMMARY'!C5,"-")</f>
        <v>9.8644578313253017E-2</v>
      </c>
      <c r="D54" s="285">
        <f>IFERROR('💰 P&amp;L SUMMARY'!D16/'💰 P&amp;L SUMMARY'!D5,"-")</f>
        <v>9.1990483743061069E-2</v>
      </c>
      <c r="E54" s="285">
        <f>IFERROR('💰 P&amp;L SUMMARY'!E16/'💰 P&amp;L SUMMARY'!E5,"-")</f>
        <v>8.9114832535885161E-2</v>
      </c>
      <c r="F54" s="285">
        <f>IFERROR('💰 P&amp;L SUMMARY'!F16/'💰 P&amp;L SUMMARY'!F5,"-")</f>
        <v>9.9704579025110776E-2</v>
      </c>
      <c r="G54" s="285">
        <f>IFERROR('💰 P&amp;L SUMMARY'!G16/'💰 P&amp;L SUMMARY'!G5,"-")</f>
        <v>9.6482152095188831E-2</v>
      </c>
      <c r="H54" s="285">
        <f>IFERROR('💰 P&amp;L SUMMARY'!H16/'💰 P&amp;L SUMMARY'!H5,"-")</f>
        <v>0.10882604970008569</v>
      </c>
      <c r="I54" s="285">
        <f>IFERROR('💰 P&amp;L SUMMARY'!I16/'💰 P&amp;L SUMMARY'!I5,"-")</f>
        <v>0.10916580844490216</v>
      </c>
      <c r="J54" s="285">
        <f>IFERROR('💰 P&amp;L SUMMARY'!J16/'💰 P&amp;L SUMMARY'!J5,"-")</f>
        <v>8.4538103406027937E-2</v>
      </c>
      <c r="K54" s="285">
        <f>IFERROR('💰 P&amp;L SUMMARY'!K16/'💰 P&amp;L SUMMARY'!K5,"-")</f>
        <v>9.2303822937625749E-2</v>
      </c>
      <c r="L54" s="285">
        <f>IFERROR('💰 P&amp;L SUMMARY'!L16/'💰 P&amp;L SUMMARY'!L5,"-")</f>
        <v>9.7955933103265197E-2</v>
      </c>
      <c r="M54" s="285">
        <f>IFERROR('💰 P&amp;L SUMMARY'!M16/'💰 P&amp;L SUMMARY'!M5,"-")</f>
        <v>8.9081191142784427E-2</v>
      </c>
      <c r="N54" s="285">
        <f>IFERROR('💰 P&amp;L SUMMARY'!N16/'💰 P&amp;L SUMMARY'!N5,"-")</f>
        <v>6.7553377668883446E-2</v>
      </c>
      <c r="O54" s="286">
        <f t="shared" si="10"/>
        <v>9.3780076009672794E-2</v>
      </c>
      <c r="P54" s="41" t="s">
        <v>456</v>
      </c>
    </row>
    <row r="55" spans="2:16" ht="19.5" customHeight="1" x14ac:dyDescent="0.25">
      <c r="B55" s="250" t="s">
        <v>257</v>
      </c>
      <c r="C55" s="285">
        <f>IFERROR('📥 RAW DATA INPUT'!C29/'📥 RAW DATA INPUT'!C23,"-")</f>
        <v>1.7068273092369479E-2</v>
      </c>
      <c r="D55" s="285">
        <f>IFERROR('📥 RAW DATA INPUT'!D29/'📥 RAW DATA INPUT'!E23,"-")</f>
        <v>1.6746411483253589E-2</v>
      </c>
      <c r="E55" s="285">
        <f>IFERROR('📥 RAW DATA INPUT'!E29/'📥 RAW DATA INPUT'!E23,"-")</f>
        <v>1.6746411483253589E-2</v>
      </c>
      <c r="F55" s="285">
        <f>IFERROR('📥 RAW DATA INPUT'!F29/'📥 RAW DATA INPUT'!F23,"-")</f>
        <v>1.6248153618906941E-2</v>
      </c>
      <c r="G55" s="285">
        <f>IFERROR('📥 RAW DATA INPUT'!G29/'📥 RAW DATA INPUT'!G23,"-")</f>
        <v>1.7847904811174341E-2</v>
      </c>
      <c r="H55" s="285">
        <f>IFERROR('📥 RAW DATA INPUT'!H29/'📥 RAW DATA INPUT'!H23,"-")</f>
        <v>2.2850614110254214E-2</v>
      </c>
      <c r="I55" s="285">
        <f>IFERROR('📥 RAW DATA INPUT'!I29/'📥 RAW DATA INPUT'!I23,"-")</f>
        <v>2.2914521112255407E-2</v>
      </c>
      <c r="J55" s="285">
        <f>IFERROR('📥 RAW DATA INPUT'!J29/'📥 RAW DATA INPUT'!J23,"-")</f>
        <v>1.5682430776770399E-2</v>
      </c>
      <c r="K55" s="285">
        <f>IFERROR('📥 RAW DATA INPUT'!K29/'📥 RAW DATA INPUT'!K23,"-")</f>
        <v>1.4839034205231388E-2</v>
      </c>
      <c r="L55" s="285">
        <f>IFERROR('📥 RAW DATA INPUT'!L29/'📥 RAW DATA INPUT'!L23,"-")</f>
        <v>1.5396867533846562E-2</v>
      </c>
      <c r="M55" s="285">
        <f>IFERROR('📥 RAW DATA INPUT'!M29/'📥 RAW DATA INPUT'!M23,"-")</f>
        <v>2.0106897429371343E-2</v>
      </c>
      <c r="N55" s="285">
        <f>IFERROR('📥 RAW DATA INPUT'!N29/'📥 RAW DATA INPUT'!N23,"-")</f>
        <v>1.6450822541127057E-2</v>
      </c>
      <c r="O55" s="286">
        <f t="shared" si="10"/>
        <v>1.7741528516484528E-2</v>
      </c>
      <c r="P55" s="41" t="s">
        <v>457</v>
      </c>
    </row>
    <row r="58" spans="2:16" ht="24.75" customHeight="1" x14ac:dyDescent="0.25">
      <c r="B58" s="323"/>
      <c r="C58" s="323"/>
      <c r="D58" s="323"/>
      <c r="E58" s="323"/>
      <c r="F58" s="323"/>
      <c r="G58" s="323"/>
      <c r="H58" s="323"/>
      <c r="I58" s="323"/>
      <c r="J58" s="323"/>
      <c r="K58" s="323"/>
      <c r="L58" s="323"/>
      <c r="M58" s="323"/>
      <c r="N58" s="323"/>
      <c r="O58" s="323"/>
    </row>
  </sheetData>
  <sheetProtection algorithmName="SHA-512" hashValue="tyg6PU6m+7tCKzz4uFksAL67Yf/ESav6ythKfwOWryznMYq6Jr89f78SmxL8Rq+udPXqEaqy09OTT1DmfWBnPA==" saltValue="KstGOOpcMgJnPBGERGUmAA==" spinCount="100000" sheet="1" objects="1" scenarios="1"/>
  <mergeCells count="9">
    <mergeCell ref="B31:O31"/>
    <mergeCell ref="B32:O32"/>
    <mergeCell ref="B46:O46"/>
    <mergeCell ref="B58:O58"/>
    <mergeCell ref="B2:O2"/>
    <mergeCell ref="B4:O4"/>
    <mergeCell ref="B12:O12"/>
    <mergeCell ref="B20:O20"/>
    <mergeCell ref="B21:O21"/>
  </mergeCells>
  <conditionalFormatting sqref="C22:N22">
    <cfRule type="cellIs" dxfId="4" priority="2" operator="greaterThan">
      <formula>45</formula>
    </cfRule>
    <cfRule type="cellIs" dxfId="3" priority="3" operator="lessThanOrEqual">
      <formula>30</formula>
    </cfRule>
  </conditionalFormatting>
  <conditionalFormatting sqref="C25:N25">
    <cfRule type="cellIs" dxfId="2" priority="4" operator="lessThan">
      <formula>0</formula>
    </cfRule>
    <cfRule type="cellIs" dxfId="1" priority="5" operator="greaterThan">
      <formula>60</formula>
    </cfRule>
  </conditionalFormatting>
  <conditionalFormatting sqref="C38:N38">
    <cfRule type="cellIs" dxfId="0" priority="6" operator="greaterThan">
      <formula>0.05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2E86C1"/>
  </sheetPr>
  <dimension ref="A1:D199"/>
  <sheetViews>
    <sheetView showGridLines="0" zoomScaleNormal="100" workbookViewId="0">
      <selection activeCell="D93" sqref="D93"/>
    </sheetView>
  </sheetViews>
  <sheetFormatPr defaultColWidth="8.7109375" defaultRowHeight="15" x14ac:dyDescent="0.25"/>
  <cols>
    <col min="1" max="1" width="2" style="3" customWidth="1"/>
    <col min="2" max="2" width="37.42578125" style="3" customWidth="1"/>
    <col min="3" max="3" width="70" style="3" customWidth="1"/>
    <col min="4" max="4" width="2" style="3" customWidth="1"/>
    <col min="5" max="16384" width="8.7109375" style="3"/>
  </cols>
  <sheetData>
    <row r="1" spans="1:4" ht="7.5" customHeight="1" x14ac:dyDescent="0.25">
      <c r="A1" s="287"/>
      <c r="B1" s="287"/>
      <c r="C1" s="287"/>
      <c r="D1" s="287"/>
    </row>
    <row r="2" spans="1:4" ht="51.75" customHeight="1" x14ac:dyDescent="0.25">
      <c r="A2" s="287"/>
      <c r="B2" s="332" t="s">
        <v>458</v>
      </c>
      <c r="C2" s="332"/>
      <c r="D2" s="287"/>
    </row>
    <row r="3" spans="1:4" ht="25.5" customHeight="1" x14ac:dyDescent="0.25">
      <c r="A3" s="287"/>
      <c r="B3" s="315" t="s">
        <v>459</v>
      </c>
      <c r="C3" s="315"/>
      <c r="D3" s="287"/>
    </row>
    <row r="4" spans="1:4" ht="4.5" customHeight="1" x14ac:dyDescent="0.25">
      <c r="A4" s="287"/>
      <c r="B4" s="2"/>
      <c r="C4" s="2"/>
      <c r="D4" s="287"/>
    </row>
    <row r="5" spans="1:4" ht="18" customHeight="1" x14ac:dyDescent="0.25">
      <c r="A5" s="287"/>
      <c r="B5" s="287"/>
      <c r="C5" s="287"/>
      <c r="D5" s="287"/>
    </row>
    <row r="6" spans="1:4" ht="27.75" customHeight="1" x14ac:dyDescent="0.25">
      <c r="A6" s="287"/>
      <c r="B6" s="328" t="s">
        <v>460</v>
      </c>
      <c r="C6" s="328"/>
      <c r="D6" s="287"/>
    </row>
    <row r="7" spans="1:4" ht="19.5" customHeight="1" x14ac:dyDescent="0.25">
      <c r="A7" s="287"/>
      <c r="B7" s="57" t="s">
        <v>461</v>
      </c>
      <c r="C7" s="8" t="s">
        <v>462</v>
      </c>
      <c r="D7" s="287"/>
    </row>
    <row r="8" spans="1:4" ht="34.5" customHeight="1" x14ac:dyDescent="0.25">
      <c r="A8" s="287"/>
      <c r="B8" s="57" t="s">
        <v>463</v>
      </c>
      <c r="C8" s="8" t="s">
        <v>464</v>
      </c>
      <c r="D8" s="287"/>
    </row>
    <row r="9" spans="1:4" ht="7.5" customHeight="1" x14ac:dyDescent="0.25">
      <c r="A9" s="287"/>
      <c r="B9" s="287"/>
      <c r="C9" s="287"/>
      <c r="D9" s="287"/>
    </row>
    <row r="10" spans="1:4" ht="25.5" customHeight="1" x14ac:dyDescent="0.25">
      <c r="A10" s="287"/>
      <c r="B10" s="288" t="s">
        <v>465</v>
      </c>
      <c r="C10" s="8" t="s">
        <v>466</v>
      </c>
      <c r="D10" s="287"/>
    </row>
    <row r="11" spans="1:4" ht="36" customHeight="1" x14ac:dyDescent="0.25">
      <c r="A11" s="287"/>
      <c r="B11" s="289" t="s">
        <v>10</v>
      </c>
      <c r="C11" s="8" t="s">
        <v>467</v>
      </c>
      <c r="D11" s="287"/>
    </row>
    <row r="12" spans="1:4" ht="36.75" customHeight="1" x14ac:dyDescent="0.25">
      <c r="A12" s="287"/>
      <c r="B12" s="290" t="s">
        <v>12</v>
      </c>
      <c r="C12" s="8" t="s">
        <v>468</v>
      </c>
      <c r="D12" s="287"/>
    </row>
    <row r="13" spans="1:4" ht="38.25" customHeight="1" x14ac:dyDescent="0.25">
      <c r="A13" s="287"/>
      <c r="B13" s="289" t="s">
        <v>14</v>
      </c>
      <c r="C13" s="8" t="s">
        <v>469</v>
      </c>
      <c r="D13" s="287"/>
    </row>
    <row r="14" spans="1:4" ht="36.75" customHeight="1" x14ac:dyDescent="0.25">
      <c r="A14" s="287"/>
      <c r="B14" s="290" t="s">
        <v>16</v>
      </c>
      <c r="C14" s="8" t="s">
        <v>470</v>
      </c>
      <c r="D14" s="287"/>
    </row>
    <row r="15" spans="1:4" ht="31.5" customHeight="1" x14ac:dyDescent="0.25">
      <c r="A15" s="287"/>
      <c r="B15" s="291" t="s">
        <v>18</v>
      </c>
      <c r="C15" s="8" t="s">
        <v>471</v>
      </c>
      <c r="D15" s="287"/>
    </row>
    <row r="16" spans="1:4" ht="25.5" customHeight="1" x14ac:dyDescent="0.25">
      <c r="A16" s="287"/>
      <c r="B16" s="292" t="s">
        <v>20</v>
      </c>
      <c r="C16" s="8" t="s">
        <v>472</v>
      </c>
      <c r="D16" s="287"/>
    </row>
    <row r="17" spans="1:4" ht="31.5" customHeight="1" x14ac:dyDescent="0.25">
      <c r="A17" s="287"/>
      <c r="B17" s="289" t="s">
        <v>22</v>
      </c>
      <c r="C17" s="8" t="s">
        <v>473</v>
      </c>
      <c r="D17" s="287"/>
    </row>
    <row r="18" spans="1:4" ht="32.25" customHeight="1" x14ac:dyDescent="0.25">
      <c r="A18" s="287"/>
      <c r="B18" s="289" t="s">
        <v>24</v>
      </c>
      <c r="C18" s="8" t="s">
        <v>474</v>
      </c>
      <c r="D18" s="287"/>
    </row>
    <row r="19" spans="1:4" ht="25.5" customHeight="1" x14ac:dyDescent="0.25">
      <c r="A19" s="287"/>
      <c r="B19" s="290" t="s">
        <v>26</v>
      </c>
      <c r="C19" s="8" t="s">
        <v>475</v>
      </c>
      <c r="D19" s="287"/>
    </row>
    <row r="20" spans="1:4" ht="25.5" customHeight="1" x14ac:dyDescent="0.25">
      <c r="A20" s="287"/>
      <c r="B20" s="288" t="s">
        <v>30</v>
      </c>
      <c r="C20" s="8" t="s">
        <v>476</v>
      </c>
      <c r="D20" s="287"/>
    </row>
    <row r="21" spans="1:4" ht="7.5" customHeight="1" x14ac:dyDescent="0.25">
      <c r="A21" s="287"/>
      <c r="B21" s="287"/>
      <c r="C21" s="287"/>
      <c r="D21" s="287"/>
    </row>
    <row r="22" spans="1:4" ht="27.75" customHeight="1" x14ac:dyDescent="0.25">
      <c r="A22" s="287"/>
      <c r="B22" s="328" t="s">
        <v>477</v>
      </c>
      <c r="C22" s="328"/>
      <c r="D22" s="287"/>
    </row>
    <row r="23" spans="1:4" ht="30" customHeight="1" x14ac:dyDescent="0.25">
      <c r="A23" s="287"/>
      <c r="B23" s="44" t="s">
        <v>478</v>
      </c>
      <c r="C23" s="8" t="s">
        <v>479</v>
      </c>
      <c r="D23" s="287"/>
    </row>
    <row r="24" spans="1:4" ht="30" customHeight="1" x14ac:dyDescent="0.25">
      <c r="A24" s="287"/>
      <c r="B24" s="44" t="s">
        <v>480</v>
      </c>
      <c r="C24" s="8" t="s">
        <v>481</v>
      </c>
      <c r="D24" s="287"/>
    </row>
    <row r="25" spans="1:4" ht="30" customHeight="1" x14ac:dyDescent="0.25">
      <c r="A25" s="287"/>
      <c r="B25" s="44" t="s">
        <v>482</v>
      </c>
      <c r="C25" s="8" t="s">
        <v>483</v>
      </c>
      <c r="D25" s="287"/>
    </row>
    <row r="26" spans="1:4" ht="30" customHeight="1" x14ac:dyDescent="0.25">
      <c r="A26" s="287"/>
      <c r="B26" s="44" t="s">
        <v>484</v>
      </c>
      <c r="C26" s="8" t="s">
        <v>485</v>
      </c>
      <c r="D26" s="287"/>
    </row>
    <row r="27" spans="1:4" ht="30" customHeight="1" x14ac:dyDescent="0.25">
      <c r="A27" s="287"/>
      <c r="B27" s="44" t="s">
        <v>486</v>
      </c>
      <c r="C27" s="8" t="s">
        <v>487</v>
      </c>
      <c r="D27" s="287"/>
    </row>
    <row r="28" spans="1:4" ht="30" customHeight="1" x14ac:dyDescent="0.25">
      <c r="A28" s="287"/>
      <c r="B28" s="44" t="s">
        <v>488</v>
      </c>
      <c r="C28" s="8" t="s">
        <v>489</v>
      </c>
      <c r="D28" s="287"/>
    </row>
    <row r="29" spans="1:4" ht="30" customHeight="1" x14ac:dyDescent="0.25">
      <c r="A29" s="287"/>
      <c r="B29" s="44" t="s">
        <v>490</v>
      </c>
      <c r="C29" s="8" t="s">
        <v>491</v>
      </c>
      <c r="D29" s="287"/>
    </row>
    <row r="30" spans="1:4" ht="40.5" customHeight="1" x14ac:dyDescent="0.25">
      <c r="A30" s="287"/>
      <c r="B30" s="60" t="s">
        <v>492</v>
      </c>
      <c r="C30" s="8" t="s">
        <v>493</v>
      </c>
      <c r="D30" s="287"/>
    </row>
    <row r="31" spans="1:4" ht="42.75" customHeight="1" x14ac:dyDescent="0.25">
      <c r="A31" s="287"/>
      <c r="B31" s="60" t="s">
        <v>494</v>
      </c>
      <c r="C31" s="8" t="s">
        <v>495</v>
      </c>
      <c r="D31" s="287"/>
    </row>
    <row r="32" spans="1:4" ht="45" customHeight="1" x14ac:dyDescent="0.25">
      <c r="A32" s="287"/>
      <c r="B32" s="60" t="s">
        <v>496</v>
      </c>
      <c r="C32" s="8" t="s">
        <v>497</v>
      </c>
      <c r="D32" s="287"/>
    </row>
    <row r="33" spans="1:4" ht="41.25" customHeight="1" x14ac:dyDescent="0.25">
      <c r="A33" s="287"/>
      <c r="B33" s="57" t="s">
        <v>498</v>
      </c>
      <c r="C33" s="8" t="s">
        <v>499</v>
      </c>
      <c r="D33" s="287"/>
    </row>
    <row r="34" spans="1:4" ht="45" customHeight="1" x14ac:dyDescent="0.25">
      <c r="A34" s="287"/>
      <c r="B34" s="57" t="s">
        <v>500</v>
      </c>
      <c r="C34" s="8" t="s">
        <v>501</v>
      </c>
      <c r="D34" s="287"/>
    </row>
    <row r="35" spans="1:4" ht="7.5" customHeight="1" x14ac:dyDescent="0.25">
      <c r="A35" s="287"/>
      <c r="B35" s="287"/>
      <c r="C35" s="287"/>
      <c r="D35" s="287"/>
    </row>
    <row r="36" spans="1:4" ht="18" customHeight="1" x14ac:dyDescent="0.25">
      <c r="A36" s="287"/>
      <c r="B36" s="287"/>
      <c r="C36" s="287"/>
      <c r="D36" s="287"/>
    </row>
    <row r="37" spans="1:4" ht="27.75" customHeight="1" x14ac:dyDescent="0.25">
      <c r="A37" s="287"/>
      <c r="B37" s="333" t="s">
        <v>502</v>
      </c>
      <c r="C37" s="333"/>
      <c r="D37" s="287"/>
    </row>
    <row r="38" spans="1:4" ht="30" customHeight="1" x14ac:dyDescent="0.25">
      <c r="A38" s="287"/>
      <c r="B38" s="44" t="s">
        <v>503</v>
      </c>
      <c r="C38" s="8" t="s">
        <v>504</v>
      </c>
      <c r="D38" s="287"/>
    </row>
    <row r="39" spans="1:4" ht="30" customHeight="1" x14ac:dyDescent="0.25">
      <c r="A39" s="287"/>
      <c r="B39" s="44" t="s">
        <v>505</v>
      </c>
      <c r="C39" s="8" t="s">
        <v>506</v>
      </c>
      <c r="D39" s="287"/>
    </row>
    <row r="40" spans="1:4" ht="30" customHeight="1" x14ac:dyDescent="0.25">
      <c r="A40" s="287"/>
      <c r="B40" s="293" t="s">
        <v>507</v>
      </c>
      <c r="C40" s="8" t="s">
        <v>508</v>
      </c>
      <c r="D40" s="287"/>
    </row>
    <row r="41" spans="1:4" ht="30" customHeight="1" x14ac:dyDescent="0.25">
      <c r="A41" s="287"/>
      <c r="B41" s="294" t="s">
        <v>509</v>
      </c>
      <c r="C41" s="8" t="s">
        <v>510</v>
      </c>
      <c r="D41" s="287"/>
    </row>
    <row r="42" spans="1:4" ht="30" customHeight="1" x14ac:dyDescent="0.25">
      <c r="A42" s="287"/>
      <c r="B42" s="295" t="s">
        <v>511</v>
      </c>
      <c r="C42" s="8" t="s">
        <v>512</v>
      </c>
      <c r="D42" s="287"/>
    </row>
    <row r="43" spans="1:4" ht="52.5" customHeight="1" x14ac:dyDescent="0.25">
      <c r="A43" s="287"/>
      <c r="B43" s="294" t="s">
        <v>513</v>
      </c>
      <c r="C43" s="8" t="s">
        <v>514</v>
      </c>
      <c r="D43" s="287"/>
    </row>
    <row r="44" spans="1:4" ht="7.5" customHeight="1" x14ac:dyDescent="0.25">
      <c r="A44" s="287"/>
      <c r="B44" s="287"/>
      <c r="C44" s="287"/>
      <c r="D44" s="287"/>
    </row>
    <row r="45" spans="1:4" ht="18" customHeight="1" x14ac:dyDescent="0.25">
      <c r="A45" s="287"/>
      <c r="B45" s="287"/>
      <c r="C45" s="287"/>
      <c r="D45" s="287"/>
    </row>
    <row r="46" spans="1:4" ht="27.75" customHeight="1" x14ac:dyDescent="0.25">
      <c r="A46" s="287"/>
      <c r="B46" s="328" t="s">
        <v>515</v>
      </c>
      <c r="C46" s="328"/>
      <c r="D46" s="287"/>
    </row>
    <row r="47" spans="1:4" ht="24" customHeight="1" x14ac:dyDescent="0.25">
      <c r="A47" s="287"/>
      <c r="B47" s="57" t="s">
        <v>516</v>
      </c>
      <c r="C47" s="8" t="s">
        <v>517</v>
      </c>
      <c r="D47" s="287"/>
    </row>
    <row r="48" spans="1:4" ht="24" customHeight="1" x14ac:dyDescent="0.25">
      <c r="A48" s="287"/>
      <c r="B48" s="57" t="s">
        <v>518</v>
      </c>
      <c r="C48" s="8" t="s">
        <v>519</v>
      </c>
      <c r="D48" s="287"/>
    </row>
    <row r="49" spans="1:4" ht="24" customHeight="1" x14ac:dyDescent="0.25">
      <c r="A49" s="287"/>
      <c r="B49" s="57" t="s">
        <v>520</v>
      </c>
      <c r="C49" s="8" t="s">
        <v>521</v>
      </c>
      <c r="D49" s="287"/>
    </row>
    <row r="50" spans="1:4" ht="24" customHeight="1" x14ac:dyDescent="0.25">
      <c r="A50" s="287"/>
      <c r="B50" s="57" t="s">
        <v>522</v>
      </c>
      <c r="C50" s="8" t="s">
        <v>523</v>
      </c>
      <c r="D50" s="287"/>
    </row>
    <row r="51" spans="1:4" ht="24" customHeight="1" x14ac:dyDescent="0.25">
      <c r="A51" s="287"/>
      <c r="B51" s="57" t="s">
        <v>524</v>
      </c>
      <c r="C51" s="8" t="s">
        <v>525</v>
      </c>
      <c r="D51" s="287"/>
    </row>
    <row r="52" spans="1:4" ht="24" customHeight="1" x14ac:dyDescent="0.25">
      <c r="A52" s="287"/>
      <c r="B52" s="57" t="s">
        <v>526</v>
      </c>
      <c r="C52" s="8" t="s">
        <v>527</v>
      </c>
      <c r="D52" s="287"/>
    </row>
    <row r="53" spans="1:4" ht="24" customHeight="1" x14ac:dyDescent="0.25">
      <c r="A53" s="287"/>
      <c r="B53" s="57" t="s">
        <v>395</v>
      </c>
      <c r="C53" s="8" t="s">
        <v>528</v>
      </c>
      <c r="D53" s="287"/>
    </row>
    <row r="54" spans="1:4" ht="24" customHeight="1" x14ac:dyDescent="0.25">
      <c r="A54" s="287"/>
      <c r="B54" s="57" t="s">
        <v>378</v>
      </c>
      <c r="C54" s="8" t="s">
        <v>529</v>
      </c>
      <c r="D54" s="287"/>
    </row>
    <row r="55" spans="1:4" ht="24" customHeight="1" x14ac:dyDescent="0.25">
      <c r="A55" s="287"/>
      <c r="B55" s="57" t="s">
        <v>396</v>
      </c>
      <c r="C55" s="8" t="s">
        <v>530</v>
      </c>
      <c r="D55" s="287"/>
    </row>
    <row r="56" spans="1:4" ht="24" customHeight="1" x14ac:dyDescent="0.25">
      <c r="A56" s="287"/>
      <c r="B56" s="57" t="s">
        <v>242</v>
      </c>
      <c r="C56" s="8" t="s">
        <v>531</v>
      </c>
      <c r="D56" s="287"/>
    </row>
    <row r="57" spans="1:4" ht="24" customHeight="1" x14ac:dyDescent="0.25">
      <c r="A57" s="287"/>
      <c r="B57" s="57" t="s">
        <v>245</v>
      </c>
      <c r="C57" s="8" t="s">
        <v>532</v>
      </c>
      <c r="D57" s="287"/>
    </row>
    <row r="58" spans="1:4" ht="24" customHeight="1" x14ac:dyDescent="0.25">
      <c r="A58" s="287"/>
      <c r="B58" s="57" t="s">
        <v>533</v>
      </c>
      <c r="C58" s="8" t="s">
        <v>534</v>
      </c>
      <c r="D58" s="287"/>
    </row>
    <row r="59" spans="1:4" ht="24" customHeight="1" x14ac:dyDescent="0.25">
      <c r="A59" s="287"/>
      <c r="B59" s="57" t="s">
        <v>535</v>
      </c>
      <c r="C59" s="8" t="s">
        <v>536</v>
      </c>
      <c r="D59" s="287"/>
    </row>
    <row r="60" spans="1:4" ht="24" customHeight="1" x14ac:dyDescent="0.25">
      <c r="A60" s="287"/>
      <c r="B60" s="57" t="s">
        <v>184</v>
      </c>
      <c r="C60" s="8" t="s">
        <v>537</v>
      </c>
      <c r="D60" s="287"/>
    </row>
    <row r="61" spans="1:4" ht="24" customHeight="1" x14ac:dyDescent="0.25">
      <c r="A61" s="287"/>
      <c r="B61" s="57" t="s">
        <v>279</v>
      </c>
      <c r="C61" s="8" t="s">
        <v>538</v>
      </c>
      <c r="D61" s="287"/>
    </row>
    <row r="62" spans="1:4" ht="7.5" customHeight="1" x14ac:dyDescent="0.25">
      <c r="A62" s="287"/>
      <c r="B62" s="287"/>
      <c r="C62" s="287"/>
      <c r="D62" s="287"/>
    </row>
    <row r="63" spans="1:4" ht="18" customHeight="1" x14ac:dyDescent="0.25">
      <c r="A63" s="287"/>
      <c r="B63" s="287"/>
      <c r="C63" s="287"/>
      <c r="D63" s="287"/>
    </row>
    <row r="64" spans="1:4" ht="27.75" customHeight="1" x14ac:dyDescent="0.25">
      <c r="A64" s="287"/>
      <c r="B64" s="329" t="s">
        <v>539</v>
      </c>
      <c r="C64" s="329"/>
      <c r="D64" s="287"/>
    </row>
    <row r="65" spans="1:4" ht="31.5" customHeight="1" x14ac:dyDescent="0.25">
      <c r="A65" s="287"/>
      <c r="B65" s="296" t="s">
        <v>540</v>
      </c>
      <c r="C65" s="8" t="s">
        <v>541</v>
      </c>
      <c r="D65" s="287"/>
    </row>
    <row r="66" spans="1:4" ht="31.5" customHeight="1" x14ac:dyDescent="0.25">
      <c r="A66" s="287"/>
      <c r="B66" s="296" t="s">
        <v>542</v>
      </c>
      <c r="C66" s="8" t="s">
        <v>543</v>
      </c>
      <c r="D66" s="287"/>
    </row>
    <row r="67" spans="1:4" ht="31.5" customHeight="1" x14ac:dyDescent="0.25">
      <c r="A67" s="287"/>
      <c r="B67" s="296" t="s">
        <v>544</v>
      </c>
      <c r="C67" s="8" t="s">
        <v>545</v>
      </c>
      <c r="D67" s="287"/>
    </row>
    <row r="68" spans="1:4" ht="31.5" customHeight="1" x14ac:dyDescent="0.25">
      <c r="A68" s="287"/>
      <c r="B68" s="296" t="s">
        <v>546</v>
      </c>
      <c r="C68" s="8" t="s">
        <v>547</v>
      </c>
      <c r="D68" s="287"/>
    </row>
    <row r="69" spans="1:4" ht="31.5" customHeight="1" x14ac:dyDescent="0.25">
      <c r="A69" s="287"/>
      <c r="B69" s="296" t="s">
        <v>548</v>
      </c>
      <c r="C69" s="8" t="s">
        <v>549</v>
      </c>
      <c r="D69" s="287"/>
    </row>
    <row r="70" spans="1:4" ht="31.5" customHeight="1" x14ac:dyDescent="0.25">
      <c r="A70" s="287"/>
      <c r="B70" s="297" t="s">
        <v>550</v>
      </c>
      <c r="C70" s="8" t="s">
        <v>551</v>
      </c>
      <c r="D70" s="287"/>
    </row>
    <row r="71" spans="1:4" ht="31.5" customHeight="1" x14ac:dyDescent="0.25">
      <c r="A71" s="287"/>
      <c r="B71" s="297" t="s">
        <v>552</v>
      </c>
      <c r="C71" s="8" t="s">
        <v>553</v>
      </c>
      <c r="D71" s="287"/>
    </row>
    <row r="72" spans="1:4" ht="31.5" customHeight="1" x14ac:dyDescent="0.25">
      <c r="A72" s="287"/>
      <c r="B72" s="297" t="s">
        <v>554</v>
      </c>
      <c r="C72" s="8" t="s">
        <v>555</v>
      </c>
      <c r="D72" s="287"/>
    </row>
    <row r="73" spans="1:4" ht="31.5" customHeight="1" x14ac:dyDescent="0.25">
      <c r="A73" s="287"/>
      <c r="B73" s="298" t="s">
        <v>556</v>
      </c>
      <c r="C73" s="8" t="s">
        <v>557</v>
      </c>
      <c r="D73" s="287"/>
    </row>
    <row r="74" spans="1:4" ht="31.5" customHeight="1" x14ac:dyDescent="0.25">
      <c r="A74" s="287"/>
      <c r="B74" s="298" t="s">
        <v>558</v>
      </c>
      <c r="C74" s="8" t="s">
        <v>559</v>
      </c>
      <c r="D74" s="287"/>
    </row>
    <row r="75" spans="1:4" ht="31.5" customHeight="1" x14ac:dyDescent="0.25">
      <c r="A75" s="287"/>
      <c r="B75" s="298" t="s">
        <v>560</v>
      </c>
      <c r="C75" s="8" t="s">
        <v>561</v>
      </c>
      <c r="D75" s="287"/>
    </row>
    <row r="76" spans="1:4" ht="7.5" customHeight="1" x14ac:dyDescent="0.25">
      <c r="A76" s="287"/>
      <c r="B76" s="287"/>
      <c r="C76" s="287"/>
      <c r="D76" s="287"/>
    </row>
    <row r="77" spans="1:4" ht="18" customHeight="1" x14ac:dyDescent="0.25">
      <c r="A77" s="287"/>
      <c r="B77" s="287"/>
      <c r="C77" s="287"/>
      <c r="D77" s="287"/>
    </row>
    <row r="78" spans="1:4" ht="27.75" customHeight="1" x14ac:dyDescent="0.25">
      <c r="A78" s="287"/>
      <c r="B78" s="330" t="s">
        <v>562</v>
      </c>
      <c r="C78" s="330"/>
      <c r="D78" s="287"/>
    </row>
    <row r="79" spans="1:4" ht="19.5" customHeight="1" x14ac:dyDescent="0.25">
      <c r="A79" s="287"/>
      <c r="B79" s="299" t="s">
        <v>563</v>
      </c>
      <c r="C79" s="300" t="s">
        <v>564</v>
      </c>
      <c r="D79" s="287"/>
    </row>
    <row r="80" spans="1:4" ht="29.25" customHeight="1" x14ac:dyDescent="0.25">
      <c r="A80" s="287"/>
      <c r="B80" s="44" t="s">
        <v>565</v>
      </c>
      <c r="C80" s="301" t="s">
        <v>566</v>
      </c>
      <c r="D80" s="287"/>
    </row>
    <row r="81" spans="1:4" ht="30.75" customHeight="1" x14ac:dyDescent="0.25">
      <c r="A81" s="287"/>
      <c r="B81" s="57" t="s">
        <v>567</v>
      </c>
      <c r="C81" s="300" t="s">
        <v>568</v>
      </c>
      <c r="D81" s="287"/>
    </row>
    <row r="82" spans="1:4" ht="33.75" customHeight="1" x14ac:dyDescent="0.25">
      <c r="A82" s="287"/>
      <c r="B82" s="44" t="s">
        <v>569</v>
      </c>
      <c r="C82" s="301" t="s">
        <v>570</v>
      </c>
      <c r="D82" s="287"/>
    </row>
    <row r="83" spans="1:4" ht="37.5" customHeight="1" x14ac:dyDescent="0.25">
      <c r="A83" s="287"/>
      <c r="B83" s="57" t="s">
        <v>571</v>
      </c>
      <c r="C83" s="300" t="s">
        <v>572</v>
      </c>
      <c r="D83" s="287"/>
    </row>
    <row r="84" spans="1:4" ht="37.5" customHeight="1" x14ac:dyDescent="0.25">
      <c r="A84" s="287"/>
      <c r="B84" s="44" t="s">
        <v>573</v>
      </c>
      <c r="C84" s="301" t="s">
        <v>574</v>
      </c>
      <c r="D84" s="287"/>
    </row>
    <row r="85" spans="1:4" ht="34.5" customHeight="1" x14ac:dyDescent="0.25">
      <c r="A85" s="287"/>
      <c r="B85" s="57" t="s">
        <v>575</v>
      </c>
      <c r="C85" s="300" t="s">
        <v>576</v>
      </c>
      <c r="D85" s="287"/>
    </row>
    <row r="86" spans="1:4" ht="30.75" customHeight="1" x14ac:dyDescent="0.25">
      <c r="A86" s="287"/>
      <c r="B86" s="44" t="s">
        <v>577</v>
      </c>
      <c r="C86" s="301" t="s">
        <v>578</v>
      </c>
      <c r="D86" s="287"/>
    </row>
    <row r="87" spans="1:4" ht="26.25" customHeight="1" x14ac:dyDescent="0.25">
      <c r="A87" s="287"/>
      <c r="B87" s="57" t="s">
        <v>579</v>
      </c>
      <c r="C87" s="300" t="s">
        <v>580</v>
      </c>
      <c r="D87" s="287"/>
    </row>
    <row r="88" spans="1:4" ht="29.25" customHeight="1" x14ac:dyDescent="0.25">
      <c r="A88" s="287"/>
      <c r="B88" s="44" t="s">
        <v>581</v>
      </c>
      <c r="C88" s="301" t="s">
        <v>582</v>
      </c>
      <c r="D88" s="287"/>
    </row>
    <row r="89" spans="1:4" ht="27.75" customHeight="1" x14ac:dyDescent="0.25">
      <c r="A89" s="287"/>
      <c r="B89" s="57" t="s">
        <v>583</v>
      </c>
      <c r="C89" s="300" t="s">
        <v>584</v>
      </c>
      <c r="D89" s="287"/>
    </row>
    <row r="90" spans="1:4" ht="26.25" customHeight="1" x14ac:dyDescent="0.25">
      <c r="A90" s="287"/>
      <c r="B90" s="44" t="s">
        <v>585</v>
      </c>
      <c r="C90" s="301" t="s">
        <v>586</v>
      </c>
      <c r="D90" s="287"/>
    </row>
    <row r="91" spans="1:4" ht="27" customHeight="1" x14ac:dyDescent="0.25">
      <c r="A91" s="287"/>
      <c r="B91" s="57" t="s">
        <v>587</v>
      </c>
      <c r="C91" s="300" t="s">
        <v>588</v>
      </c>
      <c r="D91" s="287"/>
    </row>
    <row r="92" spans="1:4" ht="28.5" customHeight="1" x14ac:dyDescent="0.25">
      <c r="A92" s="287"/>
      <c r="B92" s="44" t="s">
        <v>589</v>
      </c>
      <c r="C92" s="301" t="s">
        <v>590</v>
      </c>
      <c r="D92" s="287"/>
    </row>
    <row r="93" spans="1:4" ht="30.75" customHeight="1" x14ac:dyDescent="0.25">
      <c r="A93" s="287"/>
      <c r="B93" s="57" t="s">
        <v>591</v>
      </c>
      <c r="C93" s="300" t="s">
        <v>592</v>
      </c>
      <c r="D93" s="287"/>
    </row>
    <row r="94" spans="1:4" ht="18" customHeight="1" x14ac:dyDescent="0.25">
      <c r="A94" s="287"/>
      <c r="B94" s="287"/>
      <c r="C94" s="287"/>
      <c r="D94" s="287"/>
    </row>
    <row r="95" spans="1:4" ht="7.5" customHeight="1" x14ac:dyDescent="0.25">
      <c r="A95" s="287"/>
      <c r="B95" s="287"/>
      <c r="C95" s="287"/>
      <c r="D95" s="287"/>
    </row>
    <row r="96" spans="1:4" ht="18" customHeight="1" x14ac:dyDescent="0.25">
      <c r="A96" s="287"/>
      <c r="B96" s="287"/>
      <c r="C96" s="287"/>
      <c r="D96" s="287"/>
    </row>
    <row r="97" spans="1:4" ht="27.75" customHeight="1" x14ac:dyDescent="0.25">
      <c r="A97" s="287"/>
      <c r="B97" s="331" t="s">
        <v>593</v>
      </c>
      <c r="C97" s="331"/>
      <c r="D97" s="287"/>
    </row>
    <row r="98" spans="1:4" ht="18" customHeight="1" x14ac:dyDescent="0.25">
      <c r="A98" s="287"/>
      <c r="B98" s="287"/>
      <c r="C98" s="287"/>
      <c r="D98" s="287"/>
    </row>
    <row r="99" spans="1:4" ht="18" customHeight="1" x14ac:dyDescent="0.25">
      <c r="A99" s="287"/>
      <c r="B99" s="287"/>
      <c r="C99" s="287"/>
      <c r="D99" s="287"/>
    </row>
    <row r="100" spans="1:4" ht="18" customHeight="1" x14ac:dyDescent="0.25">
      <c r="A100" s="287"/>
      <c r="B100" s="287"/>
      <c r="C100" s="287"/>
      <c r="D100" s="287"/>
    </row>
    <row r="101" spans="1:4" ht="18" customHeight="1" x14ac:dyDescent="0.25">
      <c r="A101" s="287"/>
      <c r="B101" s="287"/>
      <c r="C101" s="287"/>
      <c r="D101" s="287"/>
    </row>
    <row r="102" spans="1:4" ht="18" customHeight="1" x14ac:dyDescent="0.25">
      <c r="A102" s="287"/>
      <c r="B102" s="287"/>
      <c r="C102" s="287"/>
      <c r="D102" s="287"/>
    </row>
    <row r="103" spans="1:4" ht="18" customHeight="1" x14ac:dyDescent="0.25">
      <c r="A103" s="287"/>
      <c r="B103" s="287"/>
      <c r="C103" s="287"/>
      <c r="D103" s="287"/>
    </row>
    <row r="104" spans="1:4" ht="18" customHeight="1" x14ac:dyDescent="0.25">
      <c r="A104" s="287"/>
      <c r="B104" s="287"/>
      <c r="C104" s="287"/>
      <c r="D104" s="287"/>
    </row>
    <row r="105" spans="1:4" ht="18" customHeight="1" x14ac:dyDescent="0.25">
      <c r="A105" s="287"/>
      <c r="B105" s="287"/>
      <c r="C105" s="287"/>
      <c r="D105" s="287"/>
    </row>
    <row r="106" spans="1:4" ht="18" customHeight="1" x14ac:dyDescent="0.25">
      <c r="A106" s="287"/>
      <c r="B106" s="287"/>
      <c r="C106" s="287"/>
      <c r="D106" s="287"/>
    </row>
    <row r="107" spans="1:4" ht="18" customHeight="1" x14ac:dyDescent="0.25">
      <c r="A107" s="287"/>
      <c r="B107" s="287"/>
      <c r="C107" s="287"/>
      <c r="D107" s="287"/>
    </row>
    <row r="108" spans="1:4" ht="18" customHeight="1" x14ac:dyDescent="0.25">
      <c r="A108" s="287"/>
      <c r="B108" s="287"/>
      <c r="C108" s="287"/>
      <c r="D108" s="287"/>
    </row>
    <row r="109" spans="1:4" ht="18" customHeight="1" x14ac:dyDescent="0.25">
      <c r="A109" s="287"/>
      <c r="B109" s="287"/>
      <c r="C109" s="287"/>
      <c r="D109" s="287"/>
    </row>
    <row r="110" spans="1:4" ht="18" customHeight="1" x14ac:dyDescent="0.25">
      <c r="A110" s="287"/>
      <c r="B110" s="287"/>
      <c r="C110" s="287"/>
      <c r="D110" s="287"/>
    </row>
    <row r="111" spans="1:4" ht="18" customHeight="1" x14ac:dyDescent="0.25">
      <c r="A111" s="287"/>
      <c r="B111" s="287"/>
      <c r="C111" s="287"/>
      <c r="D111" s="287"/>
    </row>
    <row r="112" spans="1:4" ht="18" customHeight="1" x14ac:dyDescent="0.25">
      <c r="A112" s="287"/>
      <c r="B112" s="287"/>
      <c r="C112" s="287"/>
      <c r="D112" s="287"/>
    </row>
    <row r="113" spans="1:4" ht="18" customHeight="1" x14ac:dyDescent="0.25">
      <c r="A113" s="287"/>
      <c r="B113" s="287"/>
      <c r="C113" s="287"/>
      <c r="D113" s="287"/>
    </row>
    <row r="114" spans="1:4" ht="18" customHeight="1" x14ac:dyDescent="0.25">
      <c r="A114" s="287"/>
      <c r="B114" s="287"/>
      <c r="C114" s="287"/>
      <c r="D114" s="287"/>
    </row>
    <row r="115" spans="1:4" ht="18" customHeight="1" x14ac:dyDescent="0.25">
      <c r="A115" s="287"/>
      <c r="B115" s="287"/>
      <c r="C115" s="287"/>
      <c r="D115" s="287"/>
    </row>
    <row r="116" spans="1:4" ht="18" customHeight="1" x14ac:dyDescent="0.25">
      <c r="A116" s="287"/>
      <c r="B116" s="287"/>
      <c r="C116" s="287"/>
      <c r="D116" s="287"/>
    </row>
    <row r="117" spans="1:4" ht="18" customHeight="1" x14ac:dyDescent="0.25">
      <c r="A117" s="287"/>
      <c r="B117" s="287"/>
      <c r="C117" s="287"/>
      <c r="D117" s="287"/>
    </row>
    <row r="118" spans="1:4" ht="18" customHeight="1" x14ac:dyDescent="0.25">
      <c r="A118" s="287"/>
      <c r="B118" s="287"/>
      <c r="C118" s="287"/>
      <c r="D118" s="287"/>
    </row>
    <row r="119" spans="1:4" ht="18" customHeight="1" x14ac:dyDescent="0.25">
      <c r="A119" s="287"/>
      <c r="B119" s="287"/>
      <c r="C119" s="287"/>
      <c r="D119" s="287"/>
    </row>
    <row r="120" spans="1:4" ht="18" customHeight="1" x14ac:dyDescent="0.25">
      <c r="A120" s="287"/>
      <c r="B120" s="287"/>
      <c r="C120" s="287"/>
      <c r="D120" s="287"/>
    </row>
    <row r="121" spans="1:4" ht="18" customHeight="1" x14ac:dyDescent="0.25">
      <c r="A121" s="287"/>
      <c r="B121" s="287"/>
      <c r="C121" s="287"/>
      <c r="D121" s="287"/>
    </row>
    <row r="122" spans="1:4" ht="18" customHeight="1" x14ac:dyDescent="0.25">
      <c r="A122" s="287"/>
      <c r="B122" s="287"/>
      <c r="C122" s="287"/>
      <c r="D122" s="287"/>
    </row>
    <row r="123" spans="1:4" ht="18" customHeight="1" x14ac:dyDescent="0.25">
      <c r="A123" s="287"/>
      <c r="B123" s="287"/>
      <c r="C123" s="287"/>
      <c r="D123" s="287"/>
    </row>
    <row r="124" spans="1:4" ht="18" customHeight="1" x14ac:dyDescent="0.25">
      <c r="A124" s="287"/>
      <c r="B124" s="287"/>
      <c r="C124" s="287"/>
      <c r="D124" s="287"/>
    </row>
    <row r="125" spans="1:4" ht="18" customHeight="1" x14ac:dyDescent="0.25">
      <c r="A125" s="287"/>
      <c r="B125" s="287"/>
      <c r="C125" s="287"/>
      <c r="D125" s="287"/>
    </row>
    <row r="126" spans="1:4" ht="18" customHeight="1" x14ac:dyDescent="0.25">
      <c r="A126" s="287"/>
      <c r="B126" s="287"/>
      <c r="C126" s="287"/>
      <c r="D126" s="287"/>
    </row>
    <row r="127" spans="1:4" ht="18" customHeight="1" x14ac:dyDescent="0.25">
      <c r="A127" s="287"/>
      <c r="B127" s="287"/>
      <c r="C127" s="287"/>
      <c r="D127" s="287"/>
    </row>
    <row r="128" spans="1:4" ht="18" customHeight="1" x14ac:dyDescent="0.25">
      <c r="A128" s="287"/>
      <c r="B128" s="287"/>
      <c r="C128" s="287"/>
      <c r="D128" s="287"/>
    </row>
    <row r="129" spans="1:4" ht="18" customHeight="1" x14ac:dyDescent="0.25">
      <c r="A129" s="287"/>
      <c r="B129" s="287"/>
      <c r="C129" s="287"/>
      <c r="D129" s="287"/>
    </row>
    <row r="130" spans="1:4" ht="18" customHeight="1" x14ac:dyDescent="0.25">
      <c r="A130" s="287"/>
      <c r="B130" s="287"/>
      <c r="C130" s="287"/>
      <c r="D130" s="287"/>
    </row>
    <row r="131" spans="1:4" ht="18" customHeight="1" x14ac:dyDescent="0.25">
      <c r="A131" s="287"/>
      <c r="B131" s="287"/>
      <c r="C131" s="287"/>
      <c r="D131" s="287"/>
    </row>
    <row r="132" spans="1:4" ht="18" customHeight="1" x14ac:dyDescent="0.25">
      <c r="A132" s="287"/>
      <c r="B132" s="287"/>
      <c r="C132" s="287"/>
      <c r="D132" s="287"/>
    </row>
    <row r="133" spans="1:4" ht="18" customHeight="1" x14ac:dyDescent="0.25">
      <c r="A133" s="287"/>
      <c r="B133" s="287"/>
      <c r="C133" s="287"/>
      <c r="D133" s="287"/>
    </row>
    <row r="134" spans="1:4" ht="18" customHeight="1" x14ac:dyDescent="0.25">
      <c r="A134" s="287"/>
      <c r="B134" s="287"/>
      <c r="C134" s="287"/>
      <c r="D134" s="287"/>
    </row>
    <row r="135" spans="1:4" ht="18" customHeight="1" x14ac:dyDescent="0.25">
      <c r="A135" s="287"/>
      <c r="B135" s="287"/>
      <c r="C135" s="287"/>
      <c r="D135" s="287"/>
    </row>
    <row r="136" spans="1:4" ht="18" customHeight="1" x14ac:dyDescent="0.25">
      <c r="A136" s="287"/>
      <c r="B136" s="287"/>
      <c r="C136" s="287"/>
      <c r="D136" s="287"/>
    </row>
    <row r="137" spans="1:4" ht="18" customHeight="1" x14ac:dyDescent="0.25">
      <c r="A137" s="287"/>
      <c r="B137" s="287"/>
      <c r="C137" s="287"/>
      <c r="D137" s="287"/>
    </row>
    <row r="138" spans="1:4" ht="18" customHeight="1" x14ac:dyDescent="0.25">
      <c r="A138" s="287"/>
      <c r="B138" s="287"/>
      <c r="C138" s="287"/>
      <c r="D138" s="287"/>
    </row>
    <row r="139" spans="1:4" ht="18" customHeight="1" x14ac:dyDescent="0.25">
      <c r="A139" s="287"/>
      <c r="B139" s="287"/>
      <c r="C139" s="287"/>
      <c r="D139" s="287"/>
    </row>
    <row r="140" spans="1:4" ht="18" customHeight="1" x14ac:dyDescent="0.25">
      <c r="A140" s="287"/>
      <c r="B140" s="287"/>
      <c r="C140" s="287"/>
      <c r="D140" s="287"/>
    </row>
    <row r="141" spans="1:4" ht="18" customHeight="1" x14ac:dyDescent="0.25">
      <c r="A141" s="287"/>
      <c r="B141" s="287"/>
      <c r="C141" s="287"/>
      <c r="D141" s="287"/>
    </row>
    <row r="142" spans="1:4" ht="18" customHeight="1" x14ac:dyDescent="0.25">
      <c r="A142" s="287"/>
      <c r="B142" s="287"/>
      <c r="C142" s="287"/>
      <c r="D142" s="287"/>
    </row>
    <row r="143" spans="1:4" ht="18" customHeight="1" x14ac:dyDescent="0.25">
      <c r="A143" s="287"/>
      <c r="B143" s="287"/>
      <c r="C143" s="287"/>
      <c r="D143" s="287"/>
    </row>
    <row r="144" spans="1:4" ht="18" customHeight="1" x14ac:dyDescent="0.25">
      <c r="A144" s="287"/>
      <c r="B144" s="287"/>
      <c r="C144" s="287"/>
      <c r="D144" s="287"/>
    </row>
    <row r="145" spans="1:4" ht="18" customHeight="1" x14ac:dyDescent="0.25">
      <c r="A145" s="287"/>
      <c r="B145" s="287"/>
      <c r="C145" s="287"/>
      <c r="D145" s="287"/>
    </row>
    <row r="146" spans="1:4" ht="18" customHeight="1" x14ac:dyDescent="0.25">
      <c r="A146" s="287"/>
      <c r="B146" s="287"/>
      <c r="C146" s="287"/>
      <c r="D146" s="287"/>
    </row>
    <row r="147" spans="1:4" ht="18" customHeight="1" x14ac:dyDescent="0.25">
      <c r="A147" s="287"/>
      <c r="B147" s="287"/>
      <c r="C147" s="287"/>
      <c r="D147" s="287"/>
    </row>
    <row r="148" spans="1:4" ht="18" customHeight="1" x14ac:dyDescent="0.25">
      <c r="A148" s="287"/>
      <c r="B148" s="287"/>
      <c r="C148" s="287"/>
      <c r="D148" s="287"/>
    </row>
    <row r="149" spans="1:4" ht="18" customHeight="1" x14ac:dyDescent="0.25">
      <c r="A149" s="287"/>
      <c r="B149" s="287"/>
      <c r="C149" s="287"/>
      <c r="D149" s="287"/>
    </row>
    <row r="150" spans="1:4" ht="18" customHeight="1" x14ac:dyDescent="0.25">
      <c r="A150" s="287"/>
      <c r="B150" s="287"/>
      <c r="C150" s="287"/>
      <c r="D150" s="287"/>
    </row>
    <row r="151" spans="1:4" ht="18" customHeight="1" x14ac:dyDescent="0.25">
      <c r="A151" s="287"/>
      <c r="B151" s="287"/>
      <c r="C151" s="287"/>
      <c r="D151" s="287"/>
    </row>
    <row r="152" spans="1:4" ht="18" customHeight="1" x14ac:dyDescent="0.25">
      <c r="A152" s="287"/>
      <c r="B152" s="287"/>
      <c r="C152" s="287"/>
      <c r="D152" s="287"/>
    </row>
    <row r="153" spans="1:4" ht="18" customHeight="1" x14ac:dyDescent="0.25">
      <c r="A153" s="287"/>
      <c r="B153" s="287"/>
      <c r="C153" s="287"/>
      <c r="D153" s="287"/>
    </row>
    <row r="154" spans="1:4" ht="18" customHeight="1" x14ac:dyDescent="0.25">
      <c r="A154" s="287"/>
      <c r="B154" s="287"/>
      <c r="C154" s="287"/>
      <c r="D154" s="287"/>
    </row>
    <row r="155" spans="1:4" ht="18" customHeight="1" x14ac:dyDescent="0.25">
      <c r="A155" s="287"/>
      <c r="B155" s="287"/>
      <c r="C155" s="287"/>
      <c r="D155" s="287"/>
    </row>
    <row r="156" spans="1:4" ht="18" customHeight="1" x14ac:dyDescent="0.25">
      <c r="A156" s="287"/>
      <c r="B156" s="287"/>
      <c r="C156" s="287"/>
      <c r="D156" s="287"/>
    </row>
    <row r="157" spans="1:4" ht="18" customHeight="1" x14ac:dyDescent="0.25">
      <c r="A157" s="287"/>
      <c r="B157" s="287"/>
      <c r="C157" s="287"/>
      <c r="D157" s="287"/>
    </row>
    <row r="158" spans="1:4" ht="18" customHeight="1" x14ac:dyDescent="0.25">
      <c r="A158" s="287"/>
      <c r="B158" s="287"/>
      <c r="C158" s="287"/>
      <c r="D158" s="287"/>
    </row>
    <row r="159" spans="1:4" ht="18" customHeight="1" x14ac:dyDescent="0.25">
      <c r="A159" s="287"/>
      <c r="B159" s="287"/>
      <c r="C159" s="287"/>
      <c r="D159" s="287"/>
    </row>
    <row r="160" spans="1:4" ht="18" customHeight="1" x14ac:dyDescent="0.25">
      <c r="A160" s="287"/>
      <c r="B160" s="287"/>
      <c r="C160" s="287"/>
      <c r="D160" s="287"/>
    </row>
    <row r="161" spans="1:4" ht="18" customHeight="1" x14ac:dyDescent="0.25">
      <c r="A161" s="287"/>
      <c r="B161" s="287"/>
      <c r="C161" s="287"/>
      <c r="D161" s="287"/>
    </row>
    <row r="162" spans="1:4" ht="18" customHeight="1" x14ac:dyDescent="0.25">
      <c r="A162" s="287"/>
      <c r="B162" s="287"/>
      <c r="C162" s="287"/>
      <c r="D162" s="287"/>
    </row>
    <row r="163" spans="1:4" ht="18" customHeight="1" x14ac:dyDescent="0.25">
      <c r="A163" s="287"/>
      <c r="B163" s="287"/>
      <c r="C163" s="287"/>
      <c r="D163" s="287"/>
    </row>
    <row r="164" spans="1:4" ht="18" customHeight="1" x14ac:dyDescent="0.25">
      <c r="A164" s="287"/>
      <c r="B164" s="287"/>
      <c r="C164" s="287"/>
      <c r="D164" s="287"/>
    </row>
    <row r="165" spans="1:4" ht="18" customHeight="1" x14ac:dyDescent="0.25">
      <c r="A165" s="287"/>
      <c r="B165" s="287"/>
      <c r="C165" s="287"/>
      <c r="D165" s="287"/>
    </row>
    <row r="166" spans="1:4" ht="18" customHeight="1" x14ac:dyDescent="0.25">
      <c r="A166" s="287"/>
      <c r="B166" s="287"/>
      <c r="C166" s="287"/>
      <c r="D166" s="287"/>
    </row>
    <row r="167" spans="1:4" ht="18" customHeight="1" x14ac:dyDescent="0.25">
      <c r="A167" s="287"/>
      <c r="B167" s="287"/>
      <c r="C167" s="287"/>
      <c r="D167" s="287"/>
    </row>
    <row r="168" spans="1:4" ht="18" customHeight="1" x14ac:dyDescent="0.25">
      <c r="A168" s="287"/>
      <c r="B168" s="287"/>
      <c r="C168" s="287"/>
      <c r="D168" s="287"/>
    </row>
    <row r="169" spans="1:4" ht="18" customHeight="1" x14ac:dyDescent="0.25">
      <c r="A169" s="287"/>
      <c r="B169" s="287"/>
      <c r="C169" s="287"/>
      <c r="D169" s="287"/>
    </row>
    <row r="170" spans="1:4" ht="18" customHeight="1" x14ac:dyDescent="0.25">
      <c r="A170" s="287"/>
      <c r="B170" s="287"/>
      <c r="C170" s="287"/>
      <c r="D170" s="287"/>
    </row>
    <row r="171" spans="1:4" ht="18" customHeight="1" x14ac:dyDescent="0.25">
      <c r="A171" s="287"/>
      <c r="B171" s="287"/>
      <c r="C171" s="287"/>
      <c r="D171" s="287"/>
    </row>
    <row r="172" spans="1:4" ht="18" customHeight="1" x14ac:dyDescent="0.25">
      <c r="A172" s="287"/>
      <c r="B172" s="287"/>
      <c r="C172" s="287"/>
      <c r="D172" s="287"/>
    </row>
    <row r="173" spans="1:4" ht="18" customHeight="1" x14ac:dyDescent="0.25">
      <c r="A173" s="287"/>
      <c r="B173" s="287"/>
      <c r="C173" s="287"/>
      <c r="D173" s="287"/>
    </row>
    <row r="174" spans="1:4" ht="18" customHeight="1" x14ac:dyDescent="0.25">
      <c r="A174" s="287"/>
      <c r="B174" s="287"/>
      <c r="C174" s="287"/>
      <c r="D174" s="287"/>
    </row>
    <row r="175" spans="1:4" ht="18" customHeight="1" x14ac:dyDescent="0.25">
      <c r="A175" s="287"/>
      <c r="B175" s="287"/>
      <c r="C175" s="287"/>
      <c r="D175" s="287"/>
    </row>
    <row r="176" spans="1:4" ht="18" customHeight="1" x14ac:dyDescent="0.25">
      <c r="A176" s="287"/>
      <c r="B176" s="287"/>
      <c r="C176" s="287"/>
      <c r="D176" s="287"/>
    </row>
    <row r="177" spans="1:4" ht="18" customHeight="1" x14ac:dyDescent="0.25">
      <c r="A177" s="287"/>
      <c r="B177" s="287"/>
      <c r="C177" s="287"/>
      <c r="D177" s="287"/>
    </row>
    <row r="178" spans="1:4" ht="18" customHeight="1" x14ac:dyDescent="0.25">
      <c r="A178" s="287"/>
      <c r="B178" s="287"/>
      <c r="C178" s="287"/>
      <c r="D178" s="287"/>
    </row>
    <row r="179" spans="1:4" ht="18" customHeight="1" x14ac:dyDescent="0.25">
      <c r="A179" s="287"/>
      <c r="B179" s="287"/>
      <c r="C179" s="287"/>
      <c r="D179" s="287"/>
    </row>
    <row r="180" spans="1:4" ht="18" customHeight="1" x14ac:dyDescent="0.25">
      <c r="A180" s="287"/>
      <c r="B180" s="287"/>
      <c r="C180" s="287"/>
      <c r="D180" s="287"/>
    </row>
    <row r="181" spans="1:4" ht="18" customHeight="1" x14ac:dyDescent="0.25">
      <c r="A181" s="287"/>
      <c r="B181" s="287"/>
      <c r="C181" s="287"/>
      <c r="D181" s="287"/>
    </row>
    <row r="182" spans="1:4" ht="18" customHeight="1" x14ac:dyDescent="0.25">
      <c r="A182" s="287"/>
      <c r="B182" s="287"/>
      <c r="C182" s="287"/>
      <c r="D182" s="287"/>
    </row>
    <row r="183" spans="1:4" ht="18" customHeight="1" x14ac:dyDescent="0.25">
      <c r="A183" s="287"/>
      <c r="B183" s="287"/>
      <c r="C183" s="287"/>
      <c r="D183" s="287"/>
    </row>
    <row r="184" spans="1:4" ht="18" customHeight="1" x14ac:dyDescent="0.25">
      <c r="A184" s="287"/>
      <c r="B184" s="287"/>
      <c r="C184" s="287"/>
      <c r="D184" s="287"/>
    </row>
    <row r="185" spans="1:4" ht="18" customHeight="1" x14ac:dyDescent="0.25">
      <c r="A185" s="287"/>
      <c r="B185" s="287"/>
      <c r="C185" s="287"/>
      <c r="D185" s="287"/>
    </row>
    <row r="186" spans="1:4" ht="18" customHeight="1" x14ac:dyDescent="0.25">
      <c r="A186" s="287"/>
      <c r="B186" s="287"/>
      <c r="C186" s="287"/>
      <c r="D186" s="287"/>
    </row>
    <row r="187" spans="1:4" ht="18" customHeight="1" x14ac:dyDescent="0.25">
      <c r="A187" s="287"/>
      <c r="B187" s="287"/>
      <c r="C187" s="287"/>
      <c r="D187" s="287"/>
    </row>
    <row r="188" spans="1:4" ht="18" customHeight="1" x14ac:dyDescent="0.25">
      <c r="A188" s="287"/>
      <c r="B188" s="287"/>
      <c r="C188" s="287"/>
      <c r="D188" s="287"/>
    </row>
    <row r="189" spans="1:4" ht="18" customHeight="1" x14ac:dyDescent="0.25">
      <c r="A189" s="287"/>
      <c r="B189" s="287"/>
      <c r="C189" s="287"/>
      <c r="D189" s="287"/>
    </row>
    <row r="190" spans="1:4" ht="18" customHeight="1" x14ac:dyDescent="0.25">
      <c r="A190" s="287"/>
      <c r="B190" s="287"/>
      <c r="C190" s="287"/>
      <c r="D190" s="287"/>
    </row>
    <row r="191" spans="1:4" ht="18" customHeight="1" x14ac:dyDescent="0.25">
      <c r="A191" s="287"/>
      <c r="B191" s="287"/>
      <c r="C191" s="287"/>
      <c r="D191" s="287"/>
    </row>
    <row r="192" spans="1:4" ht="18" customHeight="1" x14ac:dyDescent="0.25">
      <c r="A192" s="287"/>
      <c r="B192" s="287"/>
      <c r="C192" s="287"/>
      <c r="D192" s="287"/>
    </row>
    <row r="193" spans="1:4" ht="18" customHeight="1" x14ac:dyDescent="0.25">
      <c r="A193" s="287"/>
      <c r="B193" s="287"/>
      <c r="C193" s="287"/>
      <c r="D193" s="287"/>
    </row>
    <row r="194" spans="1:4" ht="18" customHeight="1" x14ac:dyDescent="0.25">
      <c r="A194" s="287"/>
      <c r="B194" s="287"/>
      <c r="C194" s="287"/>
      <c r="D194" s="287"/>
    </row>
    <row r="195" spans="1:4" ht="18" customHeight="1" x14ac:dyDescent="0.25">
      <c r="A195" s="287"/>
      <c r="B195" s="287"/>
      <c r="C195" s="287"/>
      <c r="D195" s="287"/>
    </row>
    <row r="196" spans="1:4" ht="18" customHeight="1" x14ac:dyDescent="0.25">
      <c r="A196" s="287"/>
      <c r="B196" s="287"/>
      <c r="C196" s="287"/>
      <c r="D196" s="287"/>
    </row>
    <row r="197" spans="1:4" ht="18" customHeight="1" x14ac:dyDescent="0.25">
      <c r="A197" s="287"/>
      <c r="B197" s="287"/>
      <c r="C197" s="287"/>
      <c r="D197" s="287"/>
    </row>
    <row r="198" spans="1:4" ht="18" customHeight="1" x14ac:dyDescent="0.25">
      <c r="A198" s="287"/>
      <c r="B198" s="287"/>
      <c r="C198" s="287"/>
      <c r="D198" s="287"/>
    </row>
    <row r="199" spans="1:4" ht="18" customHeight="1" x14ac:dyDescent="0.25">
      <c r="A199" s="287"/>
      <c r="B199" s="287"/>
      <c r="C199" s="287"/>
      <c r="D199" s="287"/>
    </row>
  </sheetData>
  <mergeCells count="9">
    <mergeCell ref="B46:C46"/>
    <mergeCell ref="B64:C64"/>
    <mergeCell ref="B78:C78"/>
    <mergeCell ref="B97:C97"/>
    <mergeCell ref="B2:C2"/>
    <mergeCell ref="B3:C3"/>
    <mergeCell ref="B6:C6"/>
    <mergeCell ref="B22:C22"/>
    <mergeCell ref="B37:C37"/>
  </mergeCells>
  <pageMargins left="0.75" right="0.75" top="1" bottom="1" header="0.511811023622047" footer="0.511811023622047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2E86C1"/>
  </sheetPr>
  <dimension ref="A1:H79"/>
  <sheetViews>
    <sheetView showGridLines="0" zoomScaleNormal="100" workbookViewId="0">
      <selection activeCell="H6" sqref="H6"/>
    </sheetView>
  </sheetViews>
  <sheetFormatPr defaultColWidth="8.7109375" defaultRowHeight="15" x14ac:dyDescent="0.25"/>
  <cols>
    <col min="1" max="1" width="2" style="3" customWidth="1"/>
    <col min="2" max="2" width="24" style="3" customWidth="1"/>
    <col min="3" max="3" width="60" style="3" customWidth="1"/>
    <col min="4" max="4" width="18" style="3" customWidth="1"/>
    <col min="5" max="5" width="2" style="3" customWidth="1"/>
    <col min="6" max="16384" width="8.7109375" style="3"/>
  </cols>
  <sheetData>
    <row r="1" spans="1:8" ht="19.5" customHeight="1" x14ac:dyDescent="0.25">
      <c r="A1" s="4" t="s">
        <v>594</v>
      </c>
      <c r="B1" s="4"/>
      <c r="C1" s="4"/>
      <c r="D1" s="4"/>
      <c r="E1" s="4"/>
      <c r="F1" s="4"/>
    </row>
    <row r="2" spans="1:8" ht="49.5" customHeight="1" x14ac:dyDescent="0.25">
      <c r="A2" s="4"/>
      <c r="B2" s="343" t="s">
        <v>595</v>
      </c>
      <c r="C2" s="343"/>
      <c r="D2" s="343"/>
      <c r="E2" s="4"/>
      <c r="F2" s="4"/>
    </row>
    <row r="3" spans="1:8" ht="27.75" customHeight="1" x14ac:dyDescent="0.25">
      <c r="A3" s="4"/>
      <c r="B3" s="344" t="s">
        <v>596</v>
      </c>
      <c r="C3" s="344"/>
      <c r="D3" s="344"/>
      <c r="E3" s="4"/>
      <c r="F3" s="4"/>
    </row>
    <row r="4" spans="1:8" ht="19.5" customHeight="1" x14ac:dyDescent="0.25">
      <c r="A4" s="4"/>
      <c r="B4" s="4"/>
      <c r="C4" s="4"/>
      <c r="D4" s="4"/>
      <c r="E4" s="4"/>
      <c r="F4" s="4"/>
    </row>
    <row r="5" spans="1:8" ht="30" customHeight="1" x14ac:dyDescent="0.25">
      <c r="A5" s="4"/>
      <c r="B5" s="1" t="s">
        <v>597</v>
      </c>
      <c r="C5" s="302" t="s">
        <v>598</v>
      </c>
      <c r="D5" s="4"/>
      <c r="E5" s="4"/>
      <c r="F5" s="4"/>
    </row>
    <row r="6" spans="1:8" ht="4.5" customHeight="1" x14ac:dyDescent="0.25">
      <c r="A6" s="4"/>
      <c r="B6" s="311"/>
      <c r="C6" s="311"/>
      <c r="D6" s="311"/>
      <c r="E6" s="4"/>
      <c r="F6" s="4"/>
      <c r="H6" s="3" t="s">
        <v>594</v>
      </c>
    </row>
    <row r="7" spans="1:8" ht="19.5" customHeight="1" x14ac:dyDescent="0.25">
      <c r="A7" s="4"/>
      <c r="B7" s="4"/>
      <c r="C7" s="4"/>
      <c r="D7" s="4"/>
      <c r="E7" s="4"/>
      <c r="F7" s="4"/>
    </row>
    <row r="8" spans="1:8" ht="27.75" customHeight="1" x14ac:dyDescent="0.25">
      <c r="A8" s="4"/>
      <c r="B8" s="345" t="s">
        <v>599</v>
      </c>
      <c r="C8" s="345"/>
      <c r="D8" s="345"/>
      <c r="E8" s="4"/>
      <c r="F8" s="4"/>
    </row>
    <row r="9" spans="1:8" ht="21.75" customHeight="1" x14ac:dyDescent="0.25">
      <c r="A9" s="4"/>
      <c r="B9" s="303" t="s">
        <v>600</v>
      </c>
      <c r="C9" s="338" t="s">
        <v>601</v>
      </c>
      <c r="D9" s="338"/>
      <c r="E9" s="4"/>
      <c r="F9" s="4"/>
    </row>
    <row r="10" spans="1:8" ht="19.5" customHeight="1" x14ac:dyDescent="0.25">
      <c r="A10" s="4"/>
      <c r="B10" s="304" t="s">
        <v>602</v>
      </c>
      <c r="C10" s="336" t="s">
        <v>603</v>
      </c>
      <c r="D10" s="336"/>
      <c r="E10" s="4"/>
      <c r="F10" s="4"/>
    </row>
    <row r="11" spans="1:8" ht="19.5" customHeight="1" x14ac:dyDescent="0.25">
      <c r="A11" s="4"/>
      <c r="B11" s="304"/>
      <c r="C11" s="336"/>
      <c r="D11" s="336"/>
      <c r="E11" s="4"/>
      <c r="F11" s="4"/>
    </row>
    <row r="12" spans="1:8" ht="19.5" customHeight="1" x14ac:dyDescent="0.25">
      <c r="A12" s="4"/>
      <c r="B12" s="304"/>
      <c r="C12" s="336"/>
      <c r="D12" s="336"/>
      <c r="E12" s="4"/>
      <c r="F12" s="4"/>
    </row>
    <row r="13" spans="1:8" ht="19.5" customHeight="1" x14ac:dyDescent="0.25">
      <c r="A13" s="4"/>
      <c r="B13" s="304"/>
      <c r="C13" s="336"/>
      <c r="D13" s="336"/>
      <c r="E13" s="4"/>
      <c r="F13" s="4"/>
    </row>
    <row r="14" spans="1:8" ht="19.5" customHeight="1" x14ac:dyDescent="0.25">
      <c r="A14" s="4"/>
      <c r="B14" s="304"/>
      <c r="C14" s="336"/>
      <c r="D14" s="336"/>
      <c r="E14" s="4"/>
      <c r="F14" s="4"/>
    </row>
    <row r="15" spans="1:8" ht="19.5" customHeight="1" x14ac:dyDescent="0.25">
      <c r="A15" s="4"/>
      <c r="B15" s="304"/>
      <c r="C15" s="336"/>
      <c r="D15" s="336"/>
      <c r="E15" s="4"/>
      <c r="F15" s="4"/>
    </row>
    <row r="16" spans="1:8" ht="27.75" customHeight="1" x14ac:dyDescent="0.25">
      <c r="A16" s="4"/>
      <c r="B16" s="339" t="s">
        <v>604</v>
      </c>
      <c r="C16" s="339"/>
      <c r="D16" s="339"/>
      <c r="E16" s="4"/>
      <c r="F16" s="4"/>
    </row>
    <row r="17" spans="1:6" ht="21.75" customHeight="1" x14ac:dyDescent="0.25">
      <c r="A17" s="4"/>
      <c r="B17" s="303" t="s">
        <v>600</v>
      </c>
      <c r="C17" s="338" t="s">
        <v>601</v>
      </c>
      <c r="D17" s="338"/>
      <c r="E17" s="4"/>
      <c r="F17" s="4"/>
    </row>
    <row r="18" spans="1:6" ht="19.5" customHeight="1" x14ac:dyDescent="0.25">
      <c r="A18" s="4"/>
      <c r="B18" s="304" t="s">
        <v>602</v>
      </c>
      <c r="C18" s="336" t="s">
        <v>603</v>
      </c>
      <c r="D18" s="336"/>
      <c r="E18" s="4"/>
      <c r="F18" s="4"/>
    </row>
    <row r="19" spans="1:6" ht="19.5" customHeight="1" x14ac:dyDescent="0.25">
      <c r="A19" s="4"/>
      <c r="B19" s="304"/>
      <c r="C19" s="336"/>
      <c r="D19" s="336"/>
      <c r="E19" s="4"/>
      <c r="F19" s="4"/>
    </row>
    <row r="20" spans="1:6" ht="19.5" customHeight="1" x14ac:dyDescent="0.25">
      <c r="A20" s="4"/>
      <c r="B20" s="304"/>
      <c r="C20" s="336"/>
      <c r="D20" s="336"/>
      <c r="E20" s="4"/>
      <c r="F20" s="4"/>
    </row>
    <row r="21" spans="1:6" ht="19.5" customHeight="1" x14ac:dyDescent="0.25">
      <c r="A21" s="4"/>
      <c r="B21" s="304"/>
      <c r="C21" s="336"/>
      <c r="D21" s="336"/>
      <c r="E21" s="4"/>
      <c r="F21" s="4"/>
    </row>
    <row r="22" spans="1:6" ht="19.5" customHeight="1" x14ac:dyDescent="0.25">
      <c r="A22" s="4"/>
      <c r="B22" s="304"/>
      <c r="C22" s="336"/>
      <c r="D22" s="336"/>
      <c r="E22" s="4"/>
      <c r="F22" s="4"/>
    </row>
    <row r="23" spans="1:6" ht="19.5" customHeight="1" x14ac:dyDescent="0.25">
      <c r="A23" s="4"/>
      <c r="B23" s="304"/>
      <c r="C23" s="336"/>
      <c r="D23" s="336"/>
      <c r="E23" s="4"/>
      <c r="F23" s="4"/>
    </row>
    <row r="24" spans="1:6" ht="27.75" customHeight="1" x14ac:dyDescent="0.25">
      <c r="A24" s="4"/>
      <c r="B24" s="342" t="s">
        <v>605</v>
      </c>
      <c r="C24" s="342"/>
      <c r="D24" s="342"/>
      <c r="E24" s="4"/>
      <c r="F24" s="4"/>
    </row>
    <row r="25" spans="1:6" ht="21.75" customHeight="1" x14ac:dyDescent="0.25">
      <c r="A25" s="4"/>
      <c r="B25" s="303" t="s">
        <v>600</v>
      </c>
      <c r="C25" s="338" t="s">
        <v>601</v>
      </c>
      <c r="D25" s="338"/>
      <c r="E25" s="4"/>
      <c r="F25" s="4"/>
    </row>
    <row r="26" spans="1:6" ht="19.5" customHeight="1" x14ac:dyDescent="0.25">
      <c r="A26" s="4"/>
      <c r="B26" s="304" t="s">
        <v>602</v>
      </c>
      <c r="C26" s="336" t="s">
        <v>603</v>
      </c>
      <c r="D26" s="336"/>
      <c r="E26" s="4"/>
      <c r="F26" s="4"/>
    </row>
    <row r="27" spans="1:6" ht="19.5" customHeight="1" x14ac:dyDescent="0.25">
      <c r="A27" s="4"/>
      <c r="B27" s="304"/>
      <c r="C27" s="336"/>
      <c r="D27" s="336"/>
      <c r="E27" s="4"/>
      <c r="F27" s="4"/>
    </row>
    <row r="28" spans="1:6" ht="19.5" customHeight="1" x14ac:dyDescent="0.25">
      <c r="A28" s="4"/>
      <c r="B28" s="304"/>
      <c r="C28" s="336"/>
      <c r="D28" s="336"/>
      <c r="E28" s="4"/>
      <c r="F28" s="4"/>
    </row>
    <row r="29" spans="1:6" ht="19.5" customHeight="1" x14ac:dyDescent="0.25">
      <c r="A29" s="4"/>
      <c r="B29" s="304"/>
      <c r="C29" s="336"/>
      <c r="D29" s="336"/>
      <c r="E29" s="4"/>
      <c r="F29" s="4"/>
    </row>
    <row r="30" spans="1:6" ht="19.5" customHeight="1" x14ac:dyDescent="0.25">
      <c r="A30" s="4"/>
      <c r="B30" s="304"/>
      <c r="C30" s="336"/>
      <c r="D30" s="336"/>
      <c r="E30" s="4"/>
      <c r="F30" s="4"/>
    </row>
    <row r="31" spans="1:6" ht="19.5" customHeight="1" x14ac:dyDescent="0.25">
      <c r="A31" s="4"/>
      <c r="B31" s="304"/>
      <c r="C31" s="336"/>
      <c r="D31" s="336"/>
      <c r="E31" s="4"/>
      <c r="F31" s="4"/>
    </row>
    <row r="32" spans="1:6" ht="27.75" customHeight="1" x14ac:dyDescent="0.25">
      <c r="A32" s="4"/>
      <c r="B32" s="341" t="s">
        <v>606</v>
      </c>
      <c r="C32" s="341"/>
      <c r="D32" s="341"/>
      <c r="E32" s="4"/>
      <c r="F32" s="4"/>
    </row>
    <row r="33" spans="1:6" ht="21.75" customHeight="1" x14ac:dyDescent="0.25">
      <c r="A33" s="4"/>
      <c r="B33" s="303" t="s">
        <v>600</v>
      </c>
      <c r="C33" s="338" t="s">
        <v>601</v>
      </c>
      <c r="D33" s="338"/>
      <c r="E33" s="4"/>
      <c r="F33" s="4"/>
    </row>
    <row r="34" spans="1:6" ht="19.5" customHeight="1" x14ac:dyDescent="0.25">
      <c r="A34" s="4"/>
      <c r="B34" s="304" t="s">
        <v>602</v>
      </c>
      <c r="C34" s="336" t="s">
        <v>603</v>
      </c>
      <c r="D34" s="336"/>
      <c r="E34" s="4"/>
      <c r="F34" s="4"/>
    </row>
    <row r="35" spans="1:6" ht="19.5" customHeight="1" x14ac:dyDescent="0.25">
      <c r="A35" s="4"/>
      <c r="B35" s="304"/>
      <c r="C35" s="336"/>
      <c r="D35" s="336"/>
      <c r="E35" s="4"/>
      <c r="F35" s="4"/>
    </row>
    <row r="36" spans="1:6" ht="19.5" customHeight="1" x14ac:dyDescent="0.25">
      <c r="A36" s="4"/>
      <c r="B36" s="304"/>
      <c r="C36" s="336"/>
      <c r="D36" s="336"/>
      <c r="E36" s="4"/>
      <c r="F36" s="4"/>
    </row>
    <row r="37" spans="1:6" ht="19.5" customHeight="1" x14ac:dyDescent="0.25">
      <c r="A37" s="4"/>
      <c r="B37" s="304"/>
      <c r="C37" s="336"/>
      <c r="D37" s="336"/>
      <c r="E37" s="4"/>
      <c r="F37" s="4"/>
    </row>
    <row r="38" spans="1:6" ht="19.5" customHeight="1" x14ac:dyDescent="0.25">
      <c r="A38" s="4"/>
      <c r="B38" s="304"/>
      <c r="C38" s="336"/>
      <c r="D38" s="336"/>
      <c r="E38" s="4"/>
      <c r="F38" s="4"/>
    </row>
    <row r="39" spans="1:6" ht="19.5" customHeight="1" x14ac:dyDescent="0.25">
      <c r="A39" s="4"/>
      <c r="B39" s="304"/>
      <c r="C39" s="336"/>
      <c r="D39" s="336"/>
      <c r="E39" s="4"/>
      <c r="F39" s="4"/>
    </row>
    <row r="40" spans="1:6" ht="27.75" customHeight="1" x14ac:dyDescent="0.25">
      <c r="A40" s="4"/>
      <c r="B40" s="340" t="s">
        <v>607</v>
      </c>
      <c r="C40" s="340"/>
      <c r="D40" s="340"/>
      <c r="E40" s="4"/>
      <c r="F40" s="4"/>
    </row>
    <row r="41" spans="1:6" ht="21.75" customHeight="1" x14ac:dyDescent="0.25">
      <c r="A41" s="4"/>
      <c r="B41" s="303" t="s">
        <v>600</v>
      </c>
      <c r="C41" s="338" t="s">
        <v>601</v>
      </c>
      <c r="D41" s="338"/>
      <c r="E41" s="4"/>
      <c r="F41" s="4"/>
    </row>
    <row r="42" spans="1:6" ht="19.5" customHeight="1" x14ac:dyDescent="0.25">
      <c r="A42" s="4"/>
      <c r="B42" s="304" t="s">
        <v>602</v>
      </c>
      <c r="C42" s="336" t="s">
        <v>603</v>
      </c>
      <c r="D42" s="336"/>
      <c r="E42" s="4"/>
      <c r="F42" s="4"/>
    </row>
    <row r="43" spans="1:6" ht="19.5" customHeight="1" x14ac:dyDescent="0.25">
      <c r="A43" s="4"/>
      <c r="B43" s="304"/>
      <c r="C43" s="336"/>
      <c r="D43" s="336"/>
      <c r="E43" s="4"/>
      <c r="F43" s="4"/>
    </row>
    <row r="44" spans="1:6" ht="19.5" customHeight="1" x14ac:dyDescent="0.25">
      <c r="A44" s="4"/>
      <c r="B44" s="304"/>
      <c r="C44" s="336"/>
      <c r="D44" s="336"/>
      <c r="E44" s="4"/>
      <c r="F44" s="4"/>
    </row>
    <row r="45" spans="1:6" ht="19.5" customHeight="1" x14ac:dyDescent="0.25">
      <c r="A45" s="4"/>
      <c r="B45" s="304"/>
      <c r="C45" s="336"/>
      <c r="D45" s="336"/>
      <c r="E45" s="4"/>
      <c r="F45" s="4"/>
    </row>
    <row r="46" spans="1:6" ht="19.5" customHeight="1" x14ac:dyDescent="0.25">
      <c r="A46" s="4"/>
      <c r="B46" s="304"/>
      <c r="C46" s="336"/>
      <c r="D46" s="336"/>
      <c r="E46" s="4"/>
      <c r="F46" s="4"/>
    </row>
    <row r="47" spans="1:6" ht="19.5" customHeight="1" x14ac:dyDescent="0.25">
      <c r="A47" s="4"/>
      <c r="B47" s="304"/>
      <c r="C47" s="336"/>
      <c r="D47" s="336"/>
      <c r="E47" s="4"/>
      <c r="F47" s="4"/>
    </row>
    <row r="48" spans="1:6" ht="27.75" customHeight="1" x14ac:dyDescent="0.25">
      <c r="A48" s="4"/>
      <c r="B48" s="339" t="s">
        <v>608</v>
      </c>
      <c r="C48" s="339"/>
      <c r="D48" s="339"/>
      <c r="E48" s="4"/>
      <c r="F48" s="4"/>
    </row>
    <row r="49" spans="1:6" ht="21.75" customHeight="1" x14ac:dyDescent="0.25">
      <c r="A49" s="4"/>
      <c r="B49" s="303" t="s">
        <v>600</v>
      </c>
      <c r="C49" s="338" t="s">
        <v>601</v>
      </c>
      <c r="D49" s="338"/>
      <c r="E49" s="4"/>
      <c r="F49" s="4"/>
    </row>
    <row r="50" spans="1:6" ht="19.5" customHeight="1" x14ac:dyDescent="0.25">
      <c r="A50" s="4"/>
      <c r="B50" s="304" t="s">
        <v>602</v>
      </c>
      <c r="C50" s="336" t="s">
        <v>603</v>
      </c>
      <c r="D50" s="336"/>
      <c r="E50" s="4"/>
      <c r="F50" s="4"/>
    </row>
    <row r="51" spans="1:6" ht="19.5" customHeight="1" x14ac:dyDescent="0.25">
      <c r="A51" s="4"/>
      <c r="B51" s="304"/>
      <c r="C51" s="336"/>
      <c r="D51" s="336"/>
      <c r="E51" s="4"/>
      <c r="F51" s="4"/>
    </row>
    <row r="52" spans="1:6" ht="19.5" customHeight="1" x14ac:dyDescent="0.25">
      <c r="A52" s="4"/>
      <c r="B52" s="304"/>
      <c r="C52" s="336"/>
      <c r="D52" s="336"/>
      <c r="E52" s="4"/>
      <c r="F52" s="4"/>
    </row>
    <row r="53" spans="1:6" ht="19.5" customHeight="1" x14ac:dyDescent="0.25">
      <c r="A53" s="4"/>
      <c r="B53" s="304"/>
      <c r="C53" s="336"/>
      <c r="D53" s="336"/>
      <c r="E53" s="4"/>
      <c r="F53" s="4"/>
    </row>
    <row r="54" spans="1:6" ht="19.5" customHeight="1" x14ac:dyDescent="0.25">
      <c r="A54" s="4"/>
      <c r="B54" s="304"/>
      <c r="C54" s="336"/>
      <c r="D54" s="336"/>
      <c r="E54" s="4"/>
      <c r="F54" s="4"/>
    </row>
    <row r="55" spans="1:6" ht="19.5" customHeight="1" x14ac:dyDescent="0.25">
      <c r="A55" s="4"/>
      <c r="B55" s="304"/>
      <c r="C55" s="336"/>
      <c r="D55" s="336"/>
      <c r="E55" s="4"/>
      <c r="F55" s="4"/>
    </row>
    <row r="56" spans="1:6" ht="27.75" customHeight="1" x14ac:dyDescent="0.25">
      <c r="A56" s="4"/>
      <c r="B56" s="337" t="s">
        <v>609</v>
      </c>
      <c r="C56" s="337"/>
      <c r="D56" s="337"/>
      <c r="E56" s="4"/>
      <c r="F56" s="4"/>
    </row>
    <row r="57" spans="1:6" ht="21.75" customHeight="1" x14ac:dyDescent="0.25">
      <c r="A57" s="4"/>
      <c r="B57" s="303" t="s">
        <v>600</v>
      </c>
      <c r="C57" s="338" t="s">
        <v>601</v>
      </c>
      <c r="D57" s="338"/>
      <c r="E57" s="4"/>
      <c r="F57" s="4"/>
    </row>
    <row r="58" spans="1:6" ht="19.5" customHeight="1" x14ac:dyDescent="0.25">
      <c r="A58" s="4"/>
      <c r="B58" s="304" t="s">
        <v>602</v>
      </c>
      <c r="C58" s="336" t="s">
        <v>603</v>
      </c>
      <c r="D58" s="336"/>
      <c r="E58" s="4"/>
      <c r="F58" s="4"/>
    </row>
    <row r="59" spans="1:6" ht="19.5" customHeight="1" x14ac:dyDescent="0.25">
      <c r="A59" s="4"/>
      <c r="B59" s="304"/>
      <c r="C59" s="336"/>
      <c r="D59" s="336"/>
      <c r="E59" s="4"/>
      <c r="F59" s="4"/>
    </row>
    <row r="60" spans="1:6" ht="19.5" customHeight="1" x14ac:dyDescent="0.25">
      <c r="A60" s="4"/>
      <c r="B60" s="304"/>
      <c r="C60" s="336"/>
      <c r="D60" s="336"/>
      <c r="E60" s="4"/>
      <c r="F60" s="4"/>
    </row>
    <row r="61" spans="1:6" ht="19.5" customHeight="1" x14ac:dyDescent="0.25">
      <c r="A61" s="4"/>
      <c r="B61" s="304"/>
      <c r="C61" s="336"/>
      <c r="D61" s="336"/>
      <c r="E61" s="4"/>
      <c r="F61" s="4"/>
    </row>
    <row r="62" spans="1:6" ht="19.5" customHeight="1" x14ac:dyDescent="0.25">
      <c r="A62" s="4"/>
      <c r="B62" s="304"/>
      <c r="C62" s="336"/>
      <c r="D62" s="336"/>
      <c r="E62" s="4"/>
      <c r="F62" s="4"/>
    </row>
    <row r="63" spans="1:6" ht="19.5" customHeight="1" x14ac:dyDescent="0.25">
      <c r="A63" s="4"/>
      <c r="B63" s="304"/>
      <c r="C63" s="336"/>
      <c r="D63" s="336"/>
      <c r="E63" s="4"/>
      <c r="F63" s="4"/>
    </row>
    <row r="64" spans="1:6" ht="19.5" customHeight="1" x14ac:dyDescent="0.25">
      <c r="A64" s="4"/>
      <c r="B64" s="4"/>
      <c r="C64" s="4"/>
      <c r="D64" s="4"/>
      <c r="E64" s="4"/>
      <c r="F64" s="4"/>
    </row>
    <row r="65" spans="1:6" ht="19.5" customHeight="1" x14ac:dyDescent="0.25">
      <c r="A65" s="4"/>
      <c r="B65" s="4"/>
      <c r="C65" s="4"/>
      <c r="D65" s="4"/>
      <c r="E65" s="4"/>
      <c r="F65" s="4"/>
    </row>
    <row r="66" spans="1:6" ht="30" customHeight="1" x14ac:dyDescent="0.25">
      <c r="A66" s="4"/>
      <c r="B66" s="316" t="s">
        <v>610</v>
      </c>
      <c r="C66" s="316"/>
      <c r="D66" s="316"/>
      <c r="E66" s="4"/>
      <c r="F66" s="4"/>
    </row>
    <row r="67" spans="1:6" ht="21.75" customHeight="1" x14ac:dyDescent="0.25">
      <c r="A67" s="4"/>
      <c r="B67" s="334" t="s">
        <v>611</v>
      </c>
      <c r="C67" s="334"/>
      <c r="D67" s="334"/>
      <c r="E67" s="4"/>
      <c r="F67" s="4"/>
    </row>
    <row r="68" spans="1:6" ht="21.75" customHeight="1" x14ac:dyDescent="0.25">
      <c r="A68" s="4"/>
      <c r="B68" s="334" t="s">
        <v>612</v>
      </c>
      <c r="C68" s="334"/>
      <c r="D68" s="334"/>
      <c r="E68" s="4"/>
      <c r="F68" s="4"/>
    </row>
    <row r="69" spans="1:6" ht="21.75" customHeight="1" x14ac:dyDescent="0.25">
      <c r="A69" s="4"/>
      <c r="B69" s="334" t="s">
        <v>613</v>
      </c>
      <c r="C69" s="334"/>
      <c r="D69" s="334"/>
      <c r="E69" s="4"/>
      <c r="F69" s="4"/>
    </row>
    <row r="70" spans="1:6" ht="21.75" customHeight="1" x14ac:dyDescent="0.25">
      <c r="A70" s="4"/>
      <c r="B70" s="334" t="s">
        <v>614</v>
      </c>
      <c r="C70" s="334"/>
      <c r="D70" s="334"/>
      <c r="E70" s="4"/>
      <c r="F70" s="4"/>
    </row>
    <row r="71" spans="1:6" ht="21.75" customHeight="1" x14ac:dyDescent="0.25">
      <c r="A71" s="4"/>
      <c r="B71" s="334" t="s">
        <v>615</v>
      </c>
      <c r="C71" s="334"/>
      <c r="D71" s="334"/>
      <c r="E71" s="4"/>
      <c r="F71" s="4"/>
    </row>
    <row r="72" spans="1:6" ht="21.75" customHeight="1" x14ac:dyDescent="0.25">
      <c r="A72" s="4"/>
      <c r="B72" s="334" t="s">
        <v>616</v>
      </c>
      <c r="C72" s="334"/>
      <c r="D72" s="334"/>
      <c r="E72" s="4"/>
      <c r="F72" s="4"/>
    </row>
    <row r="73" spans="1:6" ht="21.75" customHeight="1" x14ac:dyDescent="0.25">
      <c r="A73" s="4"/>
      <c r="B73" s="335" t="s">
        <v>617</v>
      </c>
      <c r="C73" s="335"/>
      <c r="D73" s="335"/>
      <c r="E73" s="4"/>
      <c r="F73" s="4"/>
    </row>
    <row r="74" spans="1:6" ht="19.5" customHeight="1" x14ac:dyDescent="0.25">
      <c r="A74" s="4"/>
      <c r="B74" s="4"/>
      <c r="C74" s="4"/>
      <c r="D74" s="4"/>
      <c r="E74" s="4"/>
      <c r="F74" s="4"/>
    </row>
    <row r="75" spans="1:6" ht="19.5" customHeight="1" x14ac:dyDescent="0.25">
      <c r="A75" s="4"/>
      <c r="B75" s="4"/>
      <c r="C75" s="4"/>
      <c r="D75" s="4"/>
      <c r="E75" s="4"/>
      <c r="F75" s="4"/>
    </row>
    <row r="76" spans="1:6" ht="19.5" customHeight="1" x14ac:dyDescent="0.25">
      <c r="A76" s="4"/>
      <c r="B76" s="4"/>
      <c r="C76" s="4"/>
      <c r="D76" s="4"/>
      <c r="E76" s="4"/>
      <c r="F76" s="4"/>
    </row>
    <row r="77" spans="1:6" ht="19.5" customHeight="1" x14ac:dyDescent="0.25">
      <c r="A77" s="4"/>
      <c r="B77" s="4"/>
      <c r="C77" s="4"/>
      <c r="D77" s="4"/>
      <c r="E77" s="4"/>
      <c r="F77" s="4"/>
    </row>
    <row r="78" spans="1:6" ht="19.5" customHeight="1" x14ac:dyDescent="0.25">
      <c r="A78" s="4"/>
      <c r="B78" s="4"/>
      <c r="C78" s="4"/>
      <c r="D78" s="4"/>
      <c r="E78" s="4"/>
      <c r="F78" s="4"/>
    </row>
    <row r="79" spans="1:6" ht="19.5" customHeight="1" x14ac:dyDescent="0.25">
      <c r="A79" s="4"/>
      <c r="B79" s="4"/>
      <c r="C79" s="4"/>
      <c r="D79" s="4"/>
      <c r="E79" s="4"/>
      <c r="F79" s="4"/>
    </row>
  </sheetData>
  <mergeCells count="67">
    <mergeCell ref="B2:D2"/>
    <mergeCell ref="B3:D3"/>
    <mergeCell ref="B6:D6"/>
    <mergeCell ref="B8:D8"/>
    <mergeCell ref="C9:D9"/>
    <mergeCell ref="C10:D10"/>
    <mergeCell ref="C11:D11"/>
    <mergeCell ref="C12:D12"/>
    <mergeCell ref="C13:D13"/>
    <mergeCell ref="C14:D14"/>
    <mergeCell ref="C15:D15"/>
    <mergeCell ref="B16:D16"/>
    <mergeCell ref="C17:D17"/>
    <mergeCell ref="C18:D18"/>
    <mergeCell ref="C19:D19"/>
    <mergeCell ref="C20:D20"/>
    <mergeCell ref="C21:D21"/>
    <mergeCell ref="C22:D22"/>
    <mergeCell ref="C23:D23"/>
    <mergeCell ref="B24:D24"/>
    <mergeCell ref="C25:D25"/>
    <mergeCell ref="C26:D26"/>
    <mergeCell ref="C27:D27"/>
    <mergeCell ref="C28:D28"/>
    <mergeCell ref="C29:D29"/>
    <mergeCell ref="C30:D30"/>
    <mergeCell ref="C31:D31"/>
    <mergeCell ref="B32:D32"/>
    <mergeCell ref="C33:D33"/>
    <mergeCell ref="C34:D34"/>
    <mergeCell ref="C35:D35"/>
    <mergeCell ref="C36:D36"/>
    <mergeCell ref="C37:D37"/>
    <mergeCell ref="C38:D38"/>
    <mergeCell ref="C39:D39"/>
    <mergeCell ref="B40:D40"/>
    <mergeCell ref="C41:D41"/>
    <mergeCell ref="C42:D42"/>
    <mergeCell ref="C43:D43"/>
    <mergeCell ref="C44:D44"/>
    <mergeCell ref="C45:D45"/>
    <mergeCell ref="C46:D46"/>
    <mergeCell ref="C47:D47"/>
    <mergeCell ref="B48:D48"/>
    <mergeCell ref="C49:D49"/>
    <mergeCell ref="C50:D50"/>
    <mergeCell ref="C51:D51"/>
    <mergeCell ref="C52:D52"/>
    <mergeCell ref="C53:D53"/>
    <mergeCell ref="C54:D54"/>
    <mergeCell ref="C55:D55"/>
    <mergeCell ref="B56:D56"/>
    <mergeCell ref="C57:D57"/>
    <mergeCell ref="C58:D58"/>
    <mergeCell ref="C59:D59"/>
    <mergeCell ref="C60:D60"/>
    <mergeCell ref="C61:D61"/>
    <mergeCell ref="C62:D62"/>
    <mergeCell ref="C63:D63"/>
    <mergeCell ref="B66:D66"/>
    <mergeCell ref="B72:D72"/>
    <mergeCell ref="B73:D73"/>
    <mergeCell ref="B67:D67"/>
    <mergeCell ref="B68:D68"/>
    <mergeCell ref="B69:D69"/>
    <mergeCell ref="B70:D70"/>
    <mergeCell ref="B71:D7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2</vt:i4>
      </vt:variant>
    </vt:vector>
  </HeadingPairs>
  <TitlesOfParts>
    <vt:vector size="14" baseType="lpstr">
      <vt:lpstr>🏠 COVER</vt:lpstr>
      <vt:lpstr>📥 RAW DATA INPUT</vt:lpstr>
      <vt:lpstr>📋 BUDGET</vt:lpstr>
      <vt:lpstr>📦 SALES &amp; REVENUE</vt:lpstr>
      <vt:lpstr>💰 P&amp;L SUMMARY</vt:lpstr>
      <vt:lpstr>🏦 CASH FLOW</vt:lpstr>
      <vt:lpstr>👥 HR &amp; HEADCOUNT</vt:lpstr>
      <vt:lpstr>📊 KPI TRACKER</vt:lpstr>
      <vt:lpstr>🖥 DASHBOARD</vt:lpstr>
      <vt:lpstr>🔄 WORKING CAPITAL</vt:lpstr>
      <vt:lpstr>📖 HOW TO USE</vt:lpstr>
      <vt:lpstr>🤖 AI INSIGHTS</vt:lpstr>
      <vt:lpstr>'📊 KPI TRACKER'!Print_Area</vt:lpstr>
      <vt:lpstr>'🖥 DASHBOARD'!Print_Area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madhu roy</cp:lastModifiedBy>
  <cp:revision>12</cp:revision>
  <dcterms:created xsi:type="dcterms:W3CDTF">2026-05-13T05:46:39Z</dcterms:created>
  <dcterms:modified xsi:type="dcterms:W3CDTF">2026-06-21T07:47:03Z</dcterms:modified>
  <dc:language>en-US</dc:language>
</cp:coreProperties>
</file>