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628"/>
  <workbookPr/>
  <mc:AlternateContent xmlns:mc="http://schemas.openxmlformats.org/markup-compatibility/2006">
    <mc:Choice Requires="x15">
      <x15ac:absPath xmlns:x15ac="http://schemas.microsoft.com/office/spreadsheetml/2010/11/ac" url="C:\ACER Data website\MAYA\CAMSROY website\Excel Template\"/>
    </mc:Choice>
  </mc:AlternateContent>
  <xr:revisionPtr revIDLastSave="0" documentId="13_ncr:1_{2ACF1C54-D1FF-45BE-B022-CF820C4D5F82}" xr6:coauthVersionLast="47" xr6:coauthVersionMax="47" xr10:uidLastSave="{00000000-0000-0000-0000-000000000000}"/>
  <bookViews>
    <workbookView xWindow="-120" yWindow="-120" windowWidth="25440" windowHeight="15270" xr2:uid="{00000000-000D-0000-FFFF-FFFF00000000}"/>
  </bookViews>
  <sheets>
    <sheet name="How to use" sheetId="1" r:id="rId1"/>
    <sheet name="Assumptions" sheetId="2" r:id="rId2"/>
    <sheet name="13-Week Forecast" sheetId="3" r:id="rId3"/>
    <sheet name="Dashboard" sheetId="4" r:id="rId4"/>
    <sheet name="AI Insights" sheetId="5" r:id="rId5"/>
    <sheet name="Risk Scoring Logic" sheetId="6" r:id="rId6"/>
  </sheets>
  <definedNames>
    <definedName name="_xlnm.Print_Area" localSheetId="0">'How to use'!$B$3:$O$16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C10" i="5" l="1"/>
  <c r="B10" i="5"/>
  <c r="C9" i="5"/>
  <c r="B9" i="5"/>
  <c r="C4" i="5"/>
  <c r="B4" i="5"/>
  <c r="C8" i="5"/>
  <c r="C7" i="5"/>
  <c r="C6" i="5"/>
  <c r="C5" i="5"/>
  <c r="B8" i="5"/>
  <c r="B6" i="5"/>
  <c r="B5" i="5"/>
  <c r="B7" i="5"/>
  <c r="B18" i="3"/>
  <c r="AD17" i="3"/>
  <c r="O17" i="3"/>
  <c r="P17" i="3" s="1"/>
  <c r="AD16" i="3"/>
  <c r="AB16" i="3"/>
  <c r="X16" i="3"/>
  <c r="T16" i="3"/>
  <c r="M16" i="3"/>
  <c r="I16" i="3"/>
  <c r="E16" i="3"/>
  <c r="O16" i="3" s="1"/>
  <c r="P16" i="3" s="1"/>
  <c r="AB15" i="3"/>
  <c r="X15" i="3"/>
  <c r="T15" i="3"/>
  <c r="AD15" i="3" s="1"/>
  <c r="O15" i="3"/>
  <c r="P15" i="3" s="1"/>
  <c r="M15" i="3"/>
  <c r="I15" i="3"/>
  <c r="E15" i="3"/>
  <c r="AB14" i="3"/>
  <c r="X14" i="3"/>
  <c r="T14" i="3"/>
  <c r="AD14" i="3" s="1"/>
  <c r="M14" i="3"/>
  <c r="O14" i="3" s="1"/>
  <c r="P14" i="3" s="1"/>
  <c r="I14" i="3"/>
  <c r="E14" i="3"/>
  <c r="AC13" i="3"/>
  <c r="AB13" i="3"/>
  <c r="AA13" i="3"/>
  <c r="Z13" i="3"/>
  <c r="Y13" i="3"/>
  <c r="X13" i="3"/>
  <c r="W13" i="3"/>
  <c r="V13" i="3"/>
  <c r="U13" i="3"/>
  <c r="T13" i="3"/>
  <c r="S13" i="3"/>
  <c r="R13" i="3"/>
  <c r="Q13" i="3"/>
  <c r="AD13" i="3" s="1"/>
  <c r="N13" i="3"/>
  <c r="M13" i="3"/>
  <c r="L13" i="3"/>
  <c r="K13" i="3"/>
  <c r="J13" i="3"/>
  <c r="I13" i="3"/>
  <c r="H13" i="3"/>
  <c r="G13" i="3"/>
  <c r="F13" i="3"/>
  <c r="E13" i="3"/>
  <c r="D13" i="3"/>
  <c r="C13" i="3"/>
  <c r="B13" i="3"/>
  <c r="O13" i="3" s="1"/>
  <c r="P13" i="3" s="1"/>
  <c r="AB12" i="3"/>
  <c r="AB18" i="3" s="1"/>
  <c r="AA12" i="3"/>
  <c r="AA18" i="3" s="1"/>
  <c r="Z12" i="3"/>
  <c r="Z18" i="3" s="1"/>
  <c r="N12" i="3"/>
  <c r="N18" i="3" s="1"/>
  <c r="M12" i="3"/>
  <c r="M18" i="3" s="1"/>
  <c r="D12" i="3"/>
  <c r="D18" i="3" s="1"/>
  <c r="C12" i="3"/>
  <c r="P11" i="3"/>
  <c r="AD9" i="3"/>
  <c r="O9" i="3"/>
  <c r="P9" i="3" s="1"/>
  <c r="AC8" i="3"/>
  <c r="AB8" i="3"/>
  <c r="AA8" i="3"/>
  <c r="Z8" i="3"/>
  <c r="Y8" i="3"/>
  <c r="X8" i="3"/>
  <c r="W8" i="3"/>
  <c r="V8" i="3"/>
  <c r="U8" i="3"/>
  <c r="T8" i="3"/>
  <c r="S8" i="3"/>
  <c r="R8" i="3"/>
  <c r="Q8" i="3"/>
  <c r="Q10" i="3" s="1"/>
  <c r="N8" i="3"/>
  <c r="M8" i="3"/>
  <c r="L8" i="3"/>
  <c r="K8" i="3"/>
  <c r="J8" i="3"/>
  <c r="I8" i="3"/>
  <c r="H8" i="3"/>
  <c r="G8" i="3"/>
  <c r="F8" i="3"/>
  <c r="E8" i="3"/>
  <c r="D8" i="3"/>
  <c r="C8" i="3"/>
  <c r="B8" i="3"/>
  <c r="B10" i="3" s="1"/>
  <c r="B19" i="3" s="1"/>
  <c r="AA6" i="3"/>
  <c r="AB7" i="3" s="1"/>
  <c r="AB10" i="3" s="1"/>
  <c r="AB19" i="3" s="1"/>
  <c r="Z6" i="3"/>
  <c r="AA7" i="3" s="1"/>
  <c r="AA10" i="3" s="1"/>
  <c r="AA19" i="3" s="1"/>
  <c r="Y6" i="3"/>
  <c r="Z7" i="3" s="1"/>
  <c r="Z10" i="3" s="1"/>
  <c r="Z19" i="3" s="1"/>
  <c r="X6" i="3"/>
  <c r="Y12" i="3" s="1"/>
  <c r="Y18" i="3" s="1"/>
  <c r="W6" i="3"/>
  <c r="X7" i="3" s="1"/>
  <c r="X10" i="3" s="1"/>
  <c r="V6" i="3"/>
  <c r="W12" i="3" s="1"/>
  <c r="W18" i="3" s="1"/>
  <c r="N6" i="3"/>
  <c r="M6" i="3"/>
  <c r="N7" i="3" s="1"/>
  <c r="N10" i="3" s="1"/>
  <c r="N19" i="3" s="1"/>
  <c r="L6" i="3"/>
  <c r="M7" i="3" s="1"/>
  <c r="M10" i="3" s="1"/>
  <c r="M19" i="3" s="1"/>
  <c r="K6" i="3"/>
  <c r="L12" i="3" s="1"/>
  <c r="L18" i="3" s="1"/>
  <c r="J6" i="3"/>
  <c r="K12" i="3" s="1"/>
  <c r="K18" i="3" s="1"/>
  <c r="C6" i="3"/>
  <c r="D7" i="3" s="1"/>
  <c r="D10" i="3" s="1"/>
  <c r="B6" i="3"/>
  <c r="C7" i="3" s="1"/>
  <c r="Q5" i="3"/>
  <c r="B5" i="3"/>
  <c r="B16" i="2"/>
  <c r="U6" i="3" s="1"/>
  <c r="B15" i="2"/>
  <c r="I6" i="3" s="1"/>
  <c r="J7" i="3" l="1"/>
  <c r="J10" i="3" s="1"/>
  <c r="J12" i="3"/>
  <c r="J18" i="3" s="1"/>
  <c r="C10" i="3"/>
  <c r="X19" i="3"/>
  <c r="V7" i="3"/>
  <c r="V10" i="3" s="1"/>
  <c r="V12" i="3"/>
  <c r="V18" i="3" s="1"/>
  <c r="D19" i="3"/>
  <c r="O8" i="3"/>
  <c r="P8" i="3" s="1"/>
  <c r="AD5" i="3"/>
  <c r="K7" i="3"/>
  <c r="K10" i="3" s="1"/>
  <c r="K19" i="3" s="1"/>
  <c r="C18" i="3"/>
  <c r="AB6" i="3"/>
  <c r="E6" i="3"/>
  <c r="Q6" i="3"/>
  <c r="AC6" i="3"/>
  <c r="Q18" i="3"/>
  <c r="Q19" i="3" s="1"/>
  <c r="O5" i="3"/>
  <c r="B20" i="3"/>
  <c r="Y7" i="3"/>
  <c r="Y10" i="3" s="1"/>
  <c r="Y19" i="3" s="1"/>
  <c r="F6" i="3"/>
  <c r="R6" i="3"/>
  <c r="W7" i="3"/>
  <c r="W10" i="3" s="1"/>
  <c r="W19" i="3" s="1"/>
  <c r="AD8" i="3"/>
  <c r="D6" i="3"/>
  <c r="L7" i="3"/>
  <c r="L10" i="3" s="1"/>
  <c r="L19" i="3" s="1"/>
  <c r="G6" i="3"/>
  <c r="S6" i="3"/>
  <c r="H6" i="3"/>
  <c r="T6" i="3"/>
  <c r="X12" i="3"/>
  <c r="X18" i="3" s="1"/>
  <c r="Q20" i="3" l="1"/>
  <c r="S12" i="3"/>
  <c r="S18" i="3" s="1"/>
  <c r="S7" i="3"/>
  <c r="S10" i="3" s="1"/>
  <c r="S19" i="3" s="1"/>
  <c r="C19" i="3"/>
  <c r="R7" i="3"/>
  <c r="AD6" i="3"/>
  <c r="R12" i="3"/>
  <c r="G12" i="3"/>
  <c r="G18" i="3" s="1"/>
  <c r="G7" i="3"/>
  <c r="G10" i="3" s="1"/>
  <c r="U12" i="3"/>
  <c r="U18" i="3" s="1"/>
  <c r="U7" i="3"/>
  <c r="U10" i="3" s="1"/>
  <c r="U19" i="3" s="1"/>
  <c r="B21" i="3"/>
  <c r="C5" i="3"/>
  <c r="C20" i="3" s="1"/>
  <c r="I12" i="3"/>
  <c r="I18" i="3" s="1"/>
  <c r="I7" i="3"/>
  <c r="I10" i="3" s="1"/>
  <c r="I19" i="3" s="1"/>
  <c r="J19" i="3"/>
  <c r="H12" i="3"/>
  <c r="H18" i="3" s="1"/>
  <c r="H7" i="3"/>
  <c r="H10" i="3" s="1"/>
  <c r="H19" i="3" s="1"/>
  <c r="V19" i="3"/>
  <c r="E7" i="3"/>
  <c r="E12" i="3"/>
  <c r="O6" i="3"/>
  <c r="P6" i="3" s="1"/>
  <c r="F12" i="3"/>
  <c r="F18" i="3" s="1"/>
  <c r="F7" i="3"/>
  <c r="F10" i="3" s="1"/>
  <c r="F19" i="3" s="1"/>
  <c r="AC7" i="3"/>
  <c r="AC10" i="3" s="1"/>
  <c r="AC12" i="3"/>
  <c r="AC18" i="3" s="1"/>
  <c r="T7" i="3"/>
  <c r="T10" i="3" s="1"/>
  <c r="T12" i="3"/>
  <c r="T18" i="3" s="1"/>
  <c r="R5" i="3" l="1"/>
  <c r="Q21" i="3"/>
  <c r="AC19" i="3"/>
  <c r="AD12" i="3"/>
  <c r="AD18" i="3" s="1"/>
  <c r="C17" i="4" s="1"/>
  <c r="R18" i="3"/>
  <c r="C21" i="3"/>
  <c r="D5" i="3"/>
  <c r="D20" i="3" s="1"/>
  <c r="AD7" i="3"/>
  <c r="R10" i="3"/>
  <c r="E18" i="3"/>
  <c r="O12" i="3"/>
  <c r="E10" i="3"/>
  <c r="O7" i="3"/>
  <c r="T19" i="3"/>
  <c r="G19" i="3"/>
  <c r="AD10" i="3" l="1"/>
  <c r="AD19" i="3" s="1"/>
  <c r="C16" i="4"/>
  <c r="C18" i="4" s="1"/>
  <c r="E5" i="3"/>
  <c r="D21" i="3"/>
  <c r="E19" i="3"/>
  <c r="O18" i="3"/>
  <c r="P12" i="3"/>
  <c r="R20" i="3"/>
  <c r="P7" i="3"/>
  <c r="O10" i="3"/>
  <c r="B16" i="4"/>
  <c r="R19" i="3"/>
  <c r="B17" i="4" l="1"/>
  <c r="P18" i="3"/>
  <c r="B13" i="4"/>
  <c r="B8" i="4"/>
  <c r="B12" i="4"/>
  <c r="E20" i="3"/>
  <c r="C14" i="4"/>
  <c r="AD20" i="3"/>
  <c r="AD21" i="3" s="1"/>
  <c r="O19" i="3"/>
  <c r="P10" i="3"/>
  <c r="S5" i="3"/>
  <c r="S20" i="3" s="1"/>
  <c r="R21" i="3"/>
  <c r="C13" i="4"/>
  <c r="C12" i="4"/>
  <c r="C8" i="4"/>
  <c r="C9" i="4" s="1"/>
  <c r="B18" i="4"/>
  <c r="B9" i="4" l="1"/>
  <c r="P19" i="3"/>
  <c r="B14" i="4"/>
  <c r="O20" i="3"/>
  <c r="O21" i="3" s="1"/>
  <c r="S21" i="3"/>
  <c r="T5" i="3"/>
  <c r="T20" i="3" s="1"/>
  <c r="F5" i="3"/>
  <c r="F20" i="3" s="1"/>
  <c r="E21" i="3"/>
  <c r="F21" i="3" l="1"/>
  <c r="G5" i="3"/>
  <c r="G20" i="3" s="1"/>
  <c r="T21" i="3"/>
  <c r="U5" i="3"/>
  <c r="U20" i="3" s="1"/>
  <c r="U21" i="3" l="1"/>
  <c r="V5" i="3"/>
  <c r="V20" i="3" s="1"/>
  <c r="G21" i="3"/>
  <c r="H5" i="3"/>
  <c r="H20" i="3" s="1"/>
  <c r="V21" i="3" l="1"/>
  <c r="W5" i="3"/>
  <c r="W20" i="3" s="1"/>
  <c r="H21" i="3"/>
  <c r="I5" i="3"/>
  <c r="I20" i="3" s="1"/>
  <c r="I21" i="3" l="1"/>
  <c r="J5" i="3"/>
  <c r="J20" i="3" s="1"/>
  <c r="X5" i="3"/>
  <c r="X20" i="3" s="1"/>
  <c r="W21" i="3"/>
  <c r="Y5" i="3" l="1"/>
  <c r="Y20" i="3" s="1"/>
  <c r="X21" i="3"/>
  <c r="K5" i="3"/>
  <c r="K20" i="3" s="1"/>
  <c r="J21" i="3"/>
  <c r="K21" i="3" l="1"/>
  <c r="L5" i="3"/>
  <c r="L20" i="3" s="1"/>
  <c r="Z5" i="3"/>
  <c r="Z20" i="3" s="1"/>
  <c r="Y21" i="3"/>
  <c r="Z21" i="3" l="1"/>
  <c r="AA5" i="3"/>
  <c r="AA20" i="3" s="1"/>
  <c r="M5" i="3"/>
  <c r="M20" i="3" s="1"/>
  <c r="L21" i="3"/>
  <c r="M21" i="3" l="1"/>
  <c r="N5" i="3"/>
  <c r="N20" i="3" s="1"/>
  <c r="AB5" i="3"/>
  <c r="AB20" i="3" s="1"/>
  <c r="AA21" i="3"/>
  <c r="N21" i="3" l="1"/>
  <c r="B6" i="4" s="1"/>
  <c r="B23" i="4" a="1"/>
  <c r="B23" i="4" s="1"/>
  <c r="B5" i="4"/>
  <c r="B15" i="4"/>
  <c r="B22" i="4"/>
  <c r="AB21" i="3"/>
  <c r="AC5" i="3"/>
  <c r="AC20" i="3" s="1"/>
  <c r="AC21" i="3" l="1"/>
  <c r="C6" i="4" s="1"/>
  <c r="C27" i="4" s="1"/>
  <c r="C23" i="4" a="1"/>
  <c r="C23" i="4" s="1"/>
  <c r="C5" i="4"/>
  <c r="C15" i="4"/>
  <c r="C22" i="4"/>
  <c r="B7" i="4"/>
  <c r="C26" i="4" l="1"/>
  <c r="C7" i="4"/>
</calcChain>
</file>

<file path=xl/sharedStrings.xml><?xml version="1.0" encoding="utf-8"?>
<sst xmlns="http://schemas.openxmlformats.org/spreadsheetml/2006/main" count="185" uniqueCount="158">
  <si>
    <t>How to Use This 13-Week Cash Flow Forecast Model</t>
  </si>
  <si>
    <t>Step 1 – Update the Assumptions</t>
  </si>
  <si>
    <t>Start by opening the Assumptions sheet. This is the only section where you need to enter or change data. Input your current opening cash balance, expected weekly revenue, gross margin percentage, overhead expenses, monthly salary, and loan details if applicable. You can also set your minimum cash buffer and select a revenue sensitivity scenario from the dropdown. Once these values are updated, the entire model automatically recalculates. Do not edit formulas in the forecast sheet.</t>
  </si>
  <si>
    <t>Step 2 – Review the 13-Week Forecast</t>
  </si>
  <si>
    <t>After updating assumptions, go to the 13-Week Forecast sheet. The model will automatically show weekly inflows, outflows, net cash movement, and closing cash balance for each week. It also calculates funding gaps and reflects the impact of your selected revenue sensitivity scenario. This sheet gives you a clear week-by-week liquidity picture.</t>
  </si>
  <si>
    <t>Step 3 – Analyze the Dashboard</t>
  </si>
  <si>
    <t>Finally, open the Dashboard sheet to view key liquidity indicators. You will see minimum cash position, peak funding requirement, cash runway, buffer coverage ratio, average weekly burn, and risk indicators such as weeks below buffer and first negative cash week. Use this section to quickly assess whether your business is financially stable or if corrective action or funding is required.</t>
  </si>
  <si>
    <t>Best Practice</t>
  </si>
  <si>
    <t>Update the model regularly by adjusting revenue assumptions or cash balance based on actual performance. This helps maintain a rolling 13-week liquidity forecast and improves financial decision-making.</t>
  </si>
  <si>
    <t>SME 13-Week Cash Flow Model – Assumptions</t>
  </si>
  <si>
    <t>Opening Cash</t>
  </si>
  <si>
    <t>Base Weekly Sales</t>
  </si>
  <si>
    <t>Base case</t>
  </si>
  <si>
    <t>Gross Margin %</t>
  </si>
  <si>
    <t>Other Income -weekly</t>
  </si>
  <si>
    <t>Weekly Overheads</t>
  </si>
  <si>
    <t>Monthly Salary</t>
  </si>
  <si>
    <t>Loan Outstanding</t>
  </si>
  <si>
    <t>Annual Interest Rate</t>
  </si>
  <si>
    <t>Monthly EMI</t>
  </si>
  <si>
    <t>Minimum Cash Buffer</t>
  </si>
  <si>
    <t>Effective Weekly Sales</t>
  </si>
  <si>
    <t>Effective Weekly Sales with Stress</t>
  </si>
  <si>
    <t>Revenue Sensitivity Scenario (% Change in Sales)</t>
  </si>
  <si>
    <t xml:space="preserve">Select from Green cell -Drop Down </t>
  </si>
  <si>
    <t>For Example</t>
  </si>
  <si>
    <t>Scenario 1</t>
  </si>
  <si>
    <t>Scenario 2</t>
  </si>
  <si>
    <t>Scenario 3</t>
  </si>
  <si>
    <t>Scenario 4</t>
  </si>
  <si>
    <t>Scenario 5</t>
  </si>
  <si>
    <t>Scenario 6</t>
  </si>
  <si>
    <t>Weekly Cash Flow Forecast for SME</t>
  </si>
  <si>
    <t>Weekly Cash Flow Forecast for SME with Stress %</t>
  </si>
  <si>
    <t>CAMSROY.COM</t>
  </si>
  <si>
    <t>Rolling Forecast Cash Flow-Base Case</t>
  </si>
  <si>
    <t>Rolling Forecast Cash Flow-With Sress %- Sensitivity Analaysis</t>
  </si>
  <si>
    <t>Particulars</t>
  </si>
  <si>
    <t>W1</t>
  </si>
  <si>
    <t>W2</t>
  </si>
  <si>
    <t>W3</t>
  </si>
  <si>
    <t>W4</t>
  </si>
  <si>
    <t>W5</t>
  </si>
  <si>
    <t>W6</t>
  </si>
  <si>
    <t>W7</t>
  </si>
  <si>
    <t>W8</t>
  </si>
  <si>
    <t>W9</t>
  </si>
  <si>
    <t>W10</t>
  </si>
  <si>
    <t>W11</t>
  </si>
  <si>
    <t>W12</t>
  </si>
  <si>
    <t>W13</t>
  </si>
  <si>
    <t>Total</t>
  </si>
  <si>
    <t>Check</t>
  </si>
  <si>
    <t>Opening Cash &amp; Bank Balance</t>
  </si>
  <si>
    <t>Weekly Sales/Revenue</t>
  </si>
  <si>
    <t>Revenue Collections (7 Day Lag)</t>
  </si>
  <si>
    <t>Other Income if any</t>
  </si>
  <si>
    <t>Other Inflow if any ( Loan, Capital)-Consider here</t>
  </si>
  <si>
    <t>Total Inflow</t>
  </si>
  <si>
    <t>Outflow</t>
  </si>
  <si>
    <t>Vendor Payments -Direct Expenses/Purchase (30 Day Lag)</t>
  </si>
  <si>
    <t>Weekly Overheads ( Indirect Expenses or Daily Office running expenses)</t>
  </si>
  <si>
    <t>Salary Payment (Month end)</t>
  </si>
  <si>
    <t>Loan Interest (Monthly)</t>
  </si>
  <si>
    <t>Principal repayment of Loan  (Monthly)</t>
  </si>
  <si>
    <t>Total Outflows</t>
  </si>
  <si>
    <t>Net Cash flow Movement for the period</t>
  </si>
  <si>
    <t>Closing Balance</t>
  </si>
  <si>
    <t>Funding Gap</t>
  </si>
  <si>
    <t>SME CASH FLOW DASHBOARD</t>
  </si>
  <si>
    <t>Liquidity Position KPIs</t>
  </si>
  <si>
    <t>Base Case</t>
  </si>
  <si>
    <t>Stress Case</t>
  </si>
  <si>
    <t>Remarks</t>
  </si>
  <si>
    <t>Minimum Cash Position</t>
  </si>
  <si>
    <t>Represent Minimum Closing Cash Balance</t>
  </si>
  <si>
    <t>Maximum Funding Gap</t>
  </si>
  <si>
    <t>Denotes Peak Funding Requirement</t>
  </si>
  <si>
    <t>Current Buffer Coverage Ratio</t>
  </si>
  <si>
    <t>Minimum Closing Cash ÷ Minimum Required Buffer</t>
  </si>
  <si>
    <t>Average Cash Burn</t>
  </si>
  <si>
    <t>Average cash outflow during loss weeks only.</t>
  </si>
  <si>
    <t>Cash Runway (Weeks)</t>
  </si>
  <si>
    <t>Opening Cash ÷ Average Weekly Cash Burn</t>
  </si>
  <si>
    <t>Cash Performance KPIs</t>
  </si>
  <si>
    <t>Average Weekly Cash Movement</t>
  </si>
  <si>
    <t>Worst Weekly Net Cash Flow</t>
  </si>
  <si>
    <t>Mimum of worst weekly negative cash movement</t>
  </si>
  <si>
    <t>Total Net Cash Movement</t>
  </si>
  <si>
    <t>Average Weekly Cash balance</t>
  </si>
  <si>
    <t>Total Collection</t>
  </si>
  <si>
    <t>Total Outflow</t>
  </si>
  <si>
    <t>Total Collections vs Total Outflows</t>
  </si>
  <si>
    <t xml:space="preserve">Risk Indicators </t>
  </si>
  <si>
    <t>Weeks Below Buffer</t>
  </si>
  <si>
    <t>Count weeks where Closing Cash &lt; Buffer case</t>
  </si>
  <si>
    <t>First Negative Cash Week</t>
  </si>
  <si>
    <t>Sensitivity Impact KPIs</t>
  </si>
  <si>
    <t>Stress Impact on Minimum Cash</t>
  </si>
  <si>
    <t>Change in Minimum Cash Due to Stress</t>
  </si>
  <si>
    <t>Stress Impact on Funding Gap</t>
  </si>
  <si>
    <t>Change in Funding Due to Stress</t>
  </si>
  <si>
    <t>Automated Financial Insights (Dynamic)</t>
  </si>
  <si>
    <t>Liquidity Risk Assessment</t>
  </si>
  <si>
    <t>Funding Gap Assessment</t>
  </si>
  <si>
    <t>Buffer Coverage</t>
  </si>
  <si>
    <t>Runway Evaluation</t>
  </si>
  <si>
    <t>Cash Flow Stability</t>
  </si>
  <si>
    <t>Key Assessment</t>
  </si>
  <si>
    <t>Executive Liquidity Summary</t>
  </si>
  <si>
    <t>The business is currently operating under elevated liquidity risk. Cash balances remain below the defined safety buffer and projected runway is under four weeks in both base and stress scenarios. A funding gap has been identified, indicating a requirement for external capital or operational correction to sustain short-term obligations.</t>
  </si>
  <si>
    <t>While cash flow volatility appears manageable, structural liquidity constraints persist. Immediate attention to working capital optimization, cost rationalization, or short-term financing arrangements is recommended to stabilize cash runway and restore buffer adequacy.</t>
  </si>
  <si>
    <t>Proactive liquidity planning is required to prevent operational disruption.</t>
  </si>
  <si>
    <t>You are a CFO-level financial analyst.</t>
  </si>
  <si>
    <t>Based on the following liquidity KPIs:</t>
  </si>
  <si>
    <t>Provide:</t>
  </si>
  <si>
    <t>1. Overall liquidity risk assessment (Low / Moderate / High / Critical)</t>
  </si>
  <si>
    <t>2. Root cause analysis of liquidity pressure</t>
  </si>
  <si>
    <t>3. Immediate corrective actions (short-term)</t>
  </si>
  <si>
    <t>4. Strategic structural improvements (medium-term)</t>
  </si>
  <si>
    <t>5. Sensitivity commentary if revenue declines further</t>
  </si>
  <si>
    <t>Be concise, structured, and executive-level.</t>
  </si>
  <si>
    <t>Avoid generic advice.</t>
  </si>
  <si>
    <t>- Minimum Cash Position</t>
  </si>
  <si>
    <t>- Funding Gap</t>
  </si>
  <si>
    <t>- Buffer Coverage Ratio</t>
  </si>
  <si>
    <t>- Cash Runway (Weeks)</t>
  </si>
  <si>
    <t>- Average Weekly Cash Burn</t>
  </si>
  <si>
    <t>- Weeks Below Buffer</t>
  </si>
  <si>
    <t>We use weighted scoring.</t>
  </si>
  <si>
    <t>KPI Condition</t>
  </si>
  <si>
    <t>Weight</t>
  </si>
  <si>
    <t>Logic</t>
  </si>
  <si>
    <t>Runway &lt; 4 weeks</t>
  </si>
  <si>
    <t>Critical liquidity</t>
  </si>
  <si>
    <t>Buffer Coverage &lt; 1</t>
  </si>
  <si>
    <t>Buffer breached</t>
  </si>
  <si>
    <t>Funding Gap &gt; 0</t>
  </si>
  <si>
    <t>External funding required</t>
  </si>
  <si>
    <t>Minimum Cash &lt; Safe Level</t>
  </si>
  <si>
    <t>Below comfort level</t>
  </si>
  <si>
    <t>Weeks Below Buffer &gt; 5</t>
  </si>
  <si>
    <t>Volatile liquidity</t>
  </si>
  <si>
    <t>Total possible = 100</t>
  </si>
  <si>
    <t>Score</t>
  </si>
  <si>
    <t>Level</t>
  </si>
  <si>
    <t>0–30</t>
  </si>
  <si>
    <t>Low</t>
  </si>
  <si>
    <t>31–60</t>
  </si>
  <si>
    <t>Moderate</t>
  </si>
  <si>
    <t>61–80</t>
  </si>
  <si>
    <t>High</t>
  </si>
  <si>
    <t>81–100</t>
  </si>
  <si>
    <t>Critical</t>
  </si>
  <si>
    <t>Interpretation Scale</t>
  </si>
  <si>
    <t>STEP 1 — Risk Scoring Logic</t>
  </si>
  <si>
    <t>Liquidity Risk Score</t>
  </si>
  <si>
    <t>Liquidity Risk Classification</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</si>
</sst>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3">
    <numFmt numFmtId="43" formatCode="_(* #,##0.00_);_(* \(#,##0.00\);_(* &quot;-&quot;??_);_(@_)"/>
    <numFmt numFmtId="164" formatCode="_(* #,##0_);_(* \(#,##0\);_(* &quot;-&quot;??_);_(@_)"/>
    <numFmt numFmtId="165" formatCode="_(* #,##0.0_);_(* \(#,##0.0\);_(* &quot;-&quot;??_);_(@_)"/>
  </numFmts>
  <fonts count="17" x14ac:knownFonts="1">
    <font>
      <sz val="11"/>
      <color theme="1"/>
      <name val="Calibri"/>
      <family val="2"/>
      <scheme val="minor"/>
    </font>
    <font>
      <sz val="11"/>
      <color theme="1"/>
      <name val="Calibri"/>
      <family val="2"/>
      <scheme val="minor"/>
    </font>
    <font>
      <b/>
      <sz val="11"/>
      <color theme="1"/>
      <name val="Calibri"/>
      <family val="2"/>
      <scheme val="minor"/>
    </font>
    <font>
      <sz val="11"/>
      <color theme="1"/>
      <name val="Times New Roman"/>
      <family val="1"/>
    </font>
    <font>
      <b/>
      <sz val="11"/>
      <name val="Times New Roman"/>
      <family val="1"/>
    </font>
    <font>
      <b/>
      <sz val="11"/>
      <color theme="0"/>
      <name val="Times New Roman"/>
      <family val="1"/>
    </font>
    <font>
      <b/>
      <sz val="11"/>
      <color theme="1"/>
      <name val="Times New Roman"/>
      <family val="1"/>
    </font>
    <font>
      <b/>
      <sz val="20"/>
      <name val="Times New Roman"/>
      <family val="1"/>
    </font>
    <font>
      <sz val="11"/>
      <name val="Times New Roman"/>
      <family val="1"/>
    </font>
    <font>
      <b/>
      <sz val="14"/>
      <color theme="0"/>
      <name val="Times New Roman"/>
      <family val="1"/>
    </font>
    <font>
      <b/>
      <sz val="14"/>
      <name val="Times New Roman"/>
      <family val="1"/>
    </font>
    <font>
      <sz val="14"/>
      <color theme="1"/>
      <name val="Times New Roman"/>
      <family val="1"/>
    </font>
    <font>
      <sz val="11"/>
      <color theme="0"/>
      <name val="Calibri"/>
      <family val="2"/>
      <scheme val="minor"/>
    </font>
    <font>
      <b/>
      <sz val="13.5"/>
      <color theme="1"/>
      <name val="Calibri"/>
      <family val="2"/>
      <scheme val="minor"/>
    </font>
    <font>
      <b/>
      <sz val="24"/>
      <color theme="0"/>
      <name val="Calibri"/>
      <family val="2"/>
      <scheme val="minor"/>
    </font>
    <font>
      <b/>
      <sz val="13.5"/>
      <color theme="1"/>
      <name val="Times New Roman"/>
      <family val="1"/>
    </font>
    <font>
      <b/>
      <sz val="24"/>
      <color theme="0"/>
      <name val="Times New Roman"/>
      <family val="1"/>
    </font>
  </fonts>
  <fills count="14">
    <fill>
      <patternFill patternType="none"/>
    </fill>
    <fill>
      <patternFill patternType="gray125"/>
    </fill>
    <fill>
      <patternFill patternType="solid">
        <fgColor rgb="FF002060"/>
        <bgColor indexed="64"/>
      </patternFill>
    </fill>
    <fill>
      <patternFill patternType="solid">
        <fgColor theme="8" tint="0.59999389629810485"/>
        <bgColor indexed="64"/>
      </patternFill>
    </fill>
    <fill>
      <patternFill patternType="solid">
        <fgColor theme="0" tint="-4.9989318521683403E-2"/>
        <bgColor indexed="64"/>
      </patternFill>
    </fill>
    <fill>
      <patternFill patternType="solid">
        <fgColor theme="8" tint="0.39997558519241921"/>
        <bgColor indexed="64"/>
      </patternFill>
    </fill>
    <fill>
      <patternFill patternType="solid">
        <fgColor theme="7" tint="0.39997558519241921"/>
        <bgColor indexed="64"/>
      </patternFill>
    </fill>
    <fill>
      <patternFill patternType="solid">
        <fgColor theme="5" tint="-0.499984740745262"/>
        <bgColor indexed="64"/>
      </patternFill>
    </fill>
    <fill>
      <patternFill patternType="solid">
        <fgColor theme="9" tint="-0.249977111117893"/>
        <bgColor indexed="64"/>
      </patternFill>
    </fill>
    <fill>
      <patternFill patternType="solid">
        <fgColor theme="0"/>
        <bgColor indexed="64"/>
      </patternFill>
    </fill>
    <fill>
      <patternFill patternType="solid">
        <fgColor theme="6" tint="-0.249977111117893"/>
        <bgColor indexed="64"/>
      </patternFill>
    </fill>
    <fill>
      <patternFill patternType="solid">
        <fgColor theme="6" tint="0.59999389629810485"/>
        <bgColor indexed="64"/>
      </patternFill>
    </fill>
    <fill>
      <patternFill patternType="solid">
        <fgColor theme="0" tint="-0.14999847407452621"/>
        <bgColor indexed="64"/>
      </patternFill>
    </fill>
    <fill>
      <patternFill patternType="solid">
        <fgColor theme="8" tint="-0.49998474074526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s>
  <cellStyleXfs count="3">
    <xf numFmtId="0" fontId="0" fillId="0" borderId="0"/>
    <xf numFmtId="43" fontId="1" fillId="0" borderId="0"/>
    <xf numFmtId="9" fontId="1" fillId="0" borderId="0"/>
  </cellStyleXfs>
  <cellXfs count="85">
    <xf numFmtId="0" fontId="0" fillId="0" borderId="0" xfId="0"/>
    <xf numFmtId="0" fontId="3" fillId="0" borderId="0" xfId="0" applyFont="1"/>
    <xf numFmtId="164" fontId="3" fillId="0" borderId="1" xfId="1" applyNumberFormat="1" applyFont="1" applyBorder="1"/>
    <xf numFmtId="0" fontId="4" fillId="0" borderId="0" xfId="0" applyFont="1"/>
    <xf numFmtId="0" fontId="3" fillId="4" borderId="1" xfId="0" applyFont="1" applyFill="1" applyBorder="1"/>
    <xf numFmtId="0" fontId="4" fillId="0" borderId="1" xfId="0" applyFont="1" applyBorder="1"/>
    <xf numFmtId="0" fontId="3" fillId="0" borderId="1" xfId="0" applyFont="1" applyBorder="1"/>
    <xf numFmtId="0" fontId="8" fillId="0" borderId="1" xfId="0" applyFont="1" applyBorder="1"/>
    <xf numFmtId="0" fontId="3" fillId="5" borderId="0" xfId="0" applyFont="1" applyFill="1"/>
    <xf numFmtId="0" fontId="10" fillId="5" borderId="0" xfId="0" applyFont="1" applyFill="1"/>
    <xf numFmtId="0" fontId="11" fillId="5" borderId="0" xfId="0" applyFont="1" applyFill="1"/>
    <xf numFmtId="0" fontId="2" fillId="5" borderId="0" xfId="0" applyFont="1" applyFill="1"/>
    <xf numFmtId="0" fontId="13" fillId="0" borderId="0" xfId="0" applyFont="1" applyAlignment="1">
      <alignment vertical="center"/>
    </xf>
    <xf numFmtId="0" fontId="0" fillId="0" borderId="0" xfId="0" applyProtection="1">
      <protection locked="0"/>
    </xf>
    <xf numFmtId="0" fontId="5" fillId="2" borderId="0" xfId="0" applyFont="1" applyFill="1" applyAlignment="1" applyProtection="1">
      <alignment vertical="center"/>
      <protection locked="0"/>
    </xf>
    <xf numFmtId="0" fontId="5" fillId="2" borderId="4" xfId="0" applyFont="1" applyFill="1" applyBorder="1" applyAlignment="1" applyProtection="1">
      <alignment horizontal="center" vertical="center"/>
      <protection locked="0"/>
    </xf>
    <xf numFmtId="0" fontId="5" fillId="2" borderId="3" xfId="0" applyFont="1" applyFill="1" applyBorder="1" applyAlignment="1" applyProtection="1">
      <alignment vertical="center"/>
      <protection locked="0"/>
    </xf>
    <xf numFmtId="0" fontId="3" fillId="0" borderId="1" xfId="0" applyFont="1" applyBorder="1" applyAlignment="1" applyProtection="1">
      <alignment vertical="center"/>
      <protection locked="0"/>
    </xf>
    <xf numFmtId="164" fontId="3" fillId="0" borderId="1" xfId="1" applyNumberFormat="1" applyFont="1" applyBorder="1" applyAlignment="1" applyProtection="1">
      <alignment vertical="center"/>
      <protection locked="0"/>
    </xf>
    <xf numFmtId="0" fontId="3" fillId="0" borderId="1" xfId="0" applyFont="1" applyBorder="1" applyAlignment="1" applyProtection="1">
      <alignment vertical="center" wrapText="1"/>
      <protection locked="0"/>
    </xf>
    <xf numFmtId="9" fontId="3" fillId="0" borderId="1" xfId="2" applyFont="1" applyBorder="1" applyAlignment="1" applyProtection="1">
      <alignment vertical="center"/>
      <protection locked="0"/>
    </xf>
    <xf numFmtId="0" fontId="3" fillId="0" borderId="1" xfId="0" applyFont="1" applyBorder="1" applyAlignment="1" applyProtection="1">
      <alignment wrapText="1"/>
      <protection locked="0"/>
    </xf>
    <xf numFmtId="165" fontId="3" fillId="0" borderId="1" xfId="1" applyNumberFormat="1" applyFont="1" applyBorder="1" applyAlignment="1" applyProtection="1">
      <alignment vertical="center"/>
      <protection locked="0"/>
    </xf>
    <xf numFmtId="0" fontId="3" fillId="0" borderId="0" xfId="0" applyFont="1" applyAlignment="1" applyProtection="1">
      <alignment vertical="top"/>
      <protection locked="0"/>
    </xf>
    <xf numFmtId="164" fontId="3" fillId="0" borderId="5" xfId="1" applyNumberFormat="1" applyFont="1" applyBorder="1" applyAlignment="1" applyProtection="1">
      <alignment vertical="top"/>
      <protection locked="0"/>
    </xf>
    <xf numFmtId="0" fontId="3" fillId="0" borderId="0" xfId="0" applyFont="1" applyAlignment="1" applyProtection="1">
      <alignment vertical="top" wrapText="1"/>
      <protection locked="0"/>
    </xf>
    <xf numFmtId="0" fontId="5" fillId="2" borderId="1" xfId="0" applyFont="1" applyFill="1" applyBorder="1" applyAlignment="1" applyProtection="1">
      <alignment vertical="center"/>
      <protection locked="0"/>
    </xf>
    <xf numFmtId="0" fontId="5" fillId="2" borderId="1" xfId="0" applyFont="1" applyFill="1" applyBorder="1" applyAlignment="1" applyProtection="1">
      <alignment horizontal="center" vertical="center"/>
      <protection locked="0"/>
    </xf>
    <xf numFmtId="0" fontId="3" fillId="0" borderId="1" xfId="0" applyFont="1" applyBorder="1" applyAlignment="1" applyProtection="1">
      <alignment vertical="top"/>
      <protection locked="0"/>
    </xf>
    <xf numFmtId="164" fontId="3" fillId="0" borderId="1" xfId="1" applyNumberFormat="1" applyFont="1" applyBorder="1" applyAlignment="1" applyProtection="1">
      <alignment vertical="top"/>
      <protection locked="0"/>
    </xf>
    <xf numFmtId="0" fontId="3" fillId="0" borderId="1" xfId="0" applyFont="1" applyBorder="1" applyProtection="1">
      <protection locked="0"/>
    </xf>
    <xf numFmtId="0" fontId="3" fillId="0" borderId="1" xfId="0" applyFont="1" applyBorder="1" applyAlignment="1" applyProtection="1">
      <alignment vertical="top" wrapText="1"/>
      <protection locked="0"/>
    </xf>
    <xf numFmtId="0" fontId="3" fillId="0" borderId="0" xfId="0" applyFont="1" applyProtection="1">
      <protection locked="0"/>
    </xf>
    <xf numFmtId="165" fontId="3" fillId="0" borderId="1" xfId="1" applyNumberFormat="1" applyFont="1" applyBorder="1" applyAlignment="1" applyProtection="1">
      <alignment vertical="top"/>
      <protection locked="0"/>
    </xf>
    <xf numFmtId="0" fontId="3" fillId="0" borderId="1" xfId="0" applyFont="1" applyBorder="1" applyAlignment="1" applyProtection="1">
      <alignment horizontal="left" vertical="center"/>
      <protection locked="0"/>
    </xf>
    <xf numFmtId="0" fontId="5" fillId="13" borderId="0" xfId="0" applyFont="1" applyFill="1" applyAlignment="1">
      <alignment horizontal="center"/>
    </xf>
    <xf numFmtId="0" fontId="0" fillId="13" borderId="0" xfId="0" applyFill="1"/>
    <xf numFmtId="0" fontId="8" fillId="3" borderId="0" xfId="0" applyFont="1" applyFill="1" applyProtection="1">
      <protection locked="0"/>
    </xf>
    <xf numFmtId="0" fontId="3" fillId="11" borderId="0" xfId="0" applyFont="1" applyFill="1" applyProtection="1">
      <protection locked="0"/>
    </xf>
    <xf numFmtId="0" fontId="7" fillId="5" borderId="0" xfId="0" applyFont="1" applyFill="1" applyProtection="1">
      <protection locked="0"/>
    </xf>
    <xf numFmtId="0" fontId="0" fillId="5" borderId="0" xfId="0" applyFill="1" applyProtection="1">
      <protection locked="0"/>
    </xf>
    <xf numFmtId="164" fontId="5" fillId="2" borderId="1" xfId="1" applyNumberFormat="1" applyFont="1" applyFill="1" applyBorder="1" applyAlignment="1" applyProtection="1">
      <alignment vertical="center"/>
      <protection locked="0"/>
    </xf>
    <xf numFmtId="164" fontId="6" fillId="12" borderId="1" xfId="1" applyNumberFormat="1" applyFont="1" applyFill="1" applyBorder="1" applyProtection="1">
      <protection locked="0"/>
    </xf>
    <xf numFmtId="164" fontId="6" fillId="12" borderId="0" xfId="0" applyNumberFormat="1" applyFont="1" applyFill="1" applyProtection="1">
      <protection locked="0"/>
    </xf>
    <xf numFmtId="164" fontId="3" fillId="0" borderId="1" xfId="1" applyNumberFormat="1" applyFont="1" applyBorder="1" applyProtection="1">
      <protection locked="0"/>
    </xf>
    <xf numFmtId="164" fontId="3" fillId="11" borderId="0" xfId="0" applyNumberFormat="1" applyFont="1" applyFill="1" applyProtection="1">
      <protection locked="0"/>
    </xf>
    <xf numFmtId="164" fontId="6" fillId="6" borderId="1" xfId="1" applyNumberFormat="1" applyFont="1" applyFill="1" applyBorder="1" applyProtection="1">
      <protection locked="0"/>
    </xf>
    <xf numFmtId="164" fontId="6" fillId="4" borderId="1" xfId="1" applyNumberFormat="1" applyFont="1" applyFill="1" applyBorder="1" applyProtection="1">
      <protection locked="0"/>
    </xf>
    <xf numFmtId="164" fontId="3" fillId="0" borderId="1" xfId="1" applyNumberFormat="1" applyFont="1" applyBorder="1" applyAlignment="1" applyProtection="1">
      <alignment horizontal="left" indent="1"/>
      <protection locked="0"/>
    </xf>
    <xf numFmtId="164" fontId="6" fillId="6" borderId="1" xfId="1" applyNumberFormat="1" applyFont="1" applyFill="1" applyBorder="1" applyAlignment="1" applyProtection="1">
      <alignment horizontal="left" indent="1"/>
      <protection locked="0"/>
    </xf>
    <xf numFmtId="164" fontId="6" fillId="8" borderId="1" xfId="1" applyNumberFormat="1" applyFont="1" applyFill="1" applyBorder="1" applyProtection="1">
      <protection locked="0"/>
    </xf>
    <xf numFmtId="164" fontId="5" fillId="2" borderId="1" xfId="1" applyNumberFormat="1" applyFont="1" applyFill="1" applyBorder="1" applyProtection="1">
      <protection locked="0"/>
    </xf>
    <xf numFmtId="164" fontId="5" fillId="7" borderId="1" xfId="1" applyNumberFormat="1" applyFont="1" applyFill="1" applyBorder="1" applyProtection="1">
      <protection locked="0"/>
    </xf>
    <xf numFmtId="0" fontId="7" fillId="3" borderId="0" xfId="0" applyFont="1" applyFill="1"/>
    <xf numFmtId="165" fontId="3" fillId="0" borderId="0" xfId="1" applyNumberFormat="1" applyFont="1"/>
    <xf numFmtId="43" fontId="6" fillId="10" borderId="0" xfId="1" applyFont="1" applyFill="1"/>
    <xf numFmtId="43" fontId="3" fillId="9" borderId="0" xfId="1" applyFont="1" applyFill="1"/>
    <xf numFmtId="43" fontId="3" fillId="4" borderId="1" xfId="1" applyFont="1" applyFill="1" applyBorder="1"/>
    <xf numFmtId="43" fontId="3" fillId="0" borderId="1" xfId="1" applyFont="1" applyBorder="1"/>
    <xf numFmtId="0" fontId="14" fillId="2" borderId="0" xfId="0" applyFont="1" applyFill="1" applyAlignment="1">
      <alignment vertical="center"/>
    </xf>
    <xf numFmtId="0" fontId="12" fillId="2" borderId="0" xfId="0" applyFont="1" applyFill="1"/>
    <xf numFmtId="0" fontId="6" fillId="0" borderId="1" xfId="0" applyFont="1" applyBorder="1" applyAlignment="1">
      <alignment horizontal="center" vertical="center" wrapText="1"/>
    </xf>
    <xf numFmtId="0" fontId="3" fillId="0" borderId="1" xfId="0" applyFont="1" applyBorder="1" applyAlignment="1">
      <alignment horizontal="center" vertical="center" wrapText="1"/>
    </xf>
    <xf numFmtId="0" fontId="6" fillId="0" borderId="0" xfId="0" applyFont="1"/>
    <xf numFmtId="0" fontId="3" fillId="0" borderId="1" xfId="0" applyFont="1" applyBorder="1" applyAlignment="1">
      <alignment horizontal="center"/>
    </xf>
    <xf numFmtId="0" fontId="5" fillId="2" borderId="1" xfId="0" applyFont="1" applyFill="1" applyBorder="1" applyAlignment="1">
      <alignment horizontal="center" vertical="center" wrapText="1"/>
    </xf>
    <xf numFmtId="0" fontId="15" fillId="0" borderId="0" xfId="0" applyFont="1" applyAlignment="1" applyProtection="1">
      <alignment vertical="center"/>
      <protection locked="0"/>
    </xf>
    <xf numFmtId="0" fontId="3" fillId="0" borderId="0" xfId="0" quotePrefix="1" applyFont="1" applyProtection="1">
      <protection locked="0"/>
    </xf>
    <xf numFmtId="0" fontId="5" fillId="2" borderId="1" xfId="0" applyFont="1" applyFill="1" applyBorder="1" applyAlignment="1">
      <alignment vertical="center"/>
    </xf>
    <xf numFmtId="0" fontId="5" fillId="2" borderId="1" xfId="0" applyFont="1" applyFill="1" applyBorder="1" applyAlignment="1">
      <alignment horizontal="center" vertical="center"/>
    </xf>
    <xf numFmtId="0" fontId="3" fillId="4" borderId="1" xfId="0" applyFont="1" applyFill="1" applyBorder="1" applyAlignment="1">
      <alignment vertical="center"/>
    </xf>
    <xf numFmtId="0" fontId="6" fillId="6" borderId="1" xfId="0" applyFont="1" applyFill="1" applyBorder="1" applyAlignment="1">
      <alignment vertical="center"/>
    </xf>
    <xf numFmtId="0" fontId="6" fillId="6" borderId="1" xfId="0" applyFont="1" applyFill="1" applyBorder="1" applyAlignment="1">
      <alignment horizontal="center" vertical="center"/>
    </xf>
    <xf numFmtId="0" fontId="6" fillId="6" borderId="1" xfId="0" applyFont="1" applyFill="1" applyBorder="1"/>
    <xf numFmtId="0" fontId="6" fillId="6" borderId="1" xfId="0" applyFont="1" applyFill="1" applyBorder="1" applyAlignment="1">
      <alignment horizontal="center"/>
    </xf>
    <xf numFmtId="0" fontId="0" fillId="0" borderId="0" xfId="0" applyAlignment="1">
      <alignment horizontal="left" vertical="top" wrapText="1"/>
    </xf>
    <xf numFmtId="0" fontId="0" fillId="0" borderId="0" xfId="0"/>
    <xf numFmtId="0" fontId="9" fillId="2" borderId="2" xfId="0" applyFont="1" applyFill="1" applyBorder="1" applyAlignment="1" applyProtection="1">
      <alignment horizontal="center"/>
      <protection locked="0"/>
    </xf>
    <xf numFmtId="0" fontId="0" fillId="0" borderId="2" xfId="0" applyBorder="1" applyProtection="1">
      <protection locked="0"/>
    </xf>
    <xf numFmtId="0" fontId="9" fillId="13" borderId="0" xfId="0" applyFont="1" applyFill="1" applyAlignment="1">
      <alignment horizontal="center"/>
    </xf>
    <xf numFmtId="0" fontId="0" fillId="0" borderId="0" xfId="0" applyProtection="1">
      <protection locked="0"/>
    </xf>
    <xf numFmtId="0" fontId="9" fillId="13" borderId="0" xfId="0" applyFont="1" applyFill="1" applyAlignment="1">
      <alignment horizontal="center" vertical="center"/>
    </xf>
    <xf numFmtId="0" fontId="3" fillId="0" borderId="0" xfId="0" applyFont="1" applyAlignment="1" applyProtection="1">
      <alignment horizontal="left" vertical="top" wrapText="1"/>
      <protection locked="0"/>
    </xf>
    <xf numFmtId="0" fontId="16" fillId="13" borderId="2" xfId="0" applyFont="1" applyFill="1" applyBorder="1" applyAlignment="1">
      <alignment horizontal="center" vertical="center"/>
    </xf>
    <xf numFmtId="0" fontId="16" fillId="13" borderId="0" xfId="0" applyFont="1" applyFill="1" applyAlignment="1">
      <alignment horizontal="center" vertical="center"/>
    </xf>
  </cellXfs>
  <cellStyles count="3">
    <cellStyle name="Comma" xfId="1" builtinId="3"/>
    <cellStyle name="Normal" xfId="0" builtinId="0"/>
    <cellStyle name="Percent" xfId="2" builtinId="5"/>
  </cellStyles>
  <dxfs count="2">
    <dxf>
      <font>
        <color rgb="FF9C0006"/>
      </font>
      <fill>
        <patternFill>
          <bgColor rgb="FFFFC7CE"/>
        </patternFill>
      </fill>
    </dxf>
    <dxf>
      <font>
        <color rgb="FF9C0006"/>
      </font>
      <fill>
        <patternFill>
          <bgColor rgb="FFFFC7CE"/>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rot="0" spcFirstLastPara="1" vertOverflow="ellipsis" vert="horz" wrap="square" anchor="ctr" anchorCtr="1"/>
          <a:lstStyle/>
          <a:p>
            <a:pPr>
              <a:defRPr sz="1400" b="0" i="0" strike="noStrike" kern="1200" spc="0" baseline="0">
                <a:solidFill>
                  <a:schemeClr val="tx1">
                    <a:lumMod val="65000"/>
                    <a:lumOff val="35000"/>
                  </a:schemeClr>
                </a:solidFill>
                <a:latin typeface="+mn-lt"/>
                <a:ea typeface="+mn-ea"/>
                <a:cs typeface="+mn-cs"/>
              </a:defRPr>
            </a:pPr>
            <a:r>
              <a:rPr lang="en-US" b="1"/>
              <a:t>Liquidity Position KPI</a:t>
            </a:r>
          </a:p>
        </c:rich>
      </c:tx>
      <c:overlay val="0"/>
      <c:spPr>
        <a:noFill/>
        <a:ln>
          <a:noFill/>
          <a:prstDash val="solid"/>
        </a:ln>
      </c:spPr>
    </c:title>
    <c:autoTitleDeleted val="0"/>
    <c:plotArea>
      <c:layout/>
      <c:barChart>
        <c:barDir val="bar"/>
        <c:grouping val="clustered"/>
        <c:varyColors val="0"/>
        <c:ser>
          <c:idx val="0"/>
          <c:order val="0"/>
          <c:tx>
            <c:strRef>
              <c:f>Dashboard!$B$4</c:f>
              <c:strCache>
                <c:ptCount val="1"/>
                <c:pt idx="0">
                  <c:v>Base Case</c:v>
                </c:pt>
              </c:strCache>
            </c:strRef>
          </c:tx>
          <c:spPr>
            <a:solidFill>
              <a:schemeClr val="accent1"/>
            </a:solidFill>
            <a:ln>
              <a:noFill/>
              <a:prstDash val="solid"/>
            </a:ln>
          </c:spPr>
          <c:invertIfNegative val="0"/>
          <c:dLbls>
            <c:spPr>
              <a:noFill/>
              <a:ln>
                <a:noFill/>
                <a:prstDash val="solid"/>
              </a:ln>
            </c:spPr>
            <c:txPr>
              <a:bodyPr rot="0" spcFirstLastPara="1" vertOverflow="ellipsis" vert="horz" wrap="square" lIns="38100" tIns="19050" rIns="38100" bIns="19050" anchor="ctr" anchorCtr="1">
                <a:spAutoFit/>
              </a:bodyPr>
              <a:lstStyle/>
              <a:p>
                <a:pPr>
                  <a:defRPr sz="900" b="0" i="0"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Dashboard!$A$5:$A$9</c:f>
              <c:strCache>
                <c:ptCount val="5"/>
                <c:pt idx="0">
                  <c:v>Minimum Cash Position</c:v>
                </c:pt>
                <c:pt idx="1">
                  <c:v>Maximum Funding Gap</c:v>
                </c:pt>
                <c:pt idx="2">
                  <c:v>Current Buffer Coverage Ratio</c:v>
                </c:pt>
                <c:pt idx="3">
                  <c:v>Average Cash Burn</c:v>
                </c:pt>
                <c:pt idx="4">
                  <c:v>Cash Runway (Weeks)</c:v>
                </c:pt>
              </c:strCache>
            </c:strRef>
          </c:cat>
          <c:val>
            <c:numRef>
              <c:f>Dashboard!$B$5:$B$9</c:f>
              <c:numCache>
                <c:formatCode>_(* #,##0_);_(* \(#,##0\);_(* "-"??_);_(@_)</c:formatCode>
                <c:ptCount val="5"/>
                <c:pt idx="0">
                  <c:v>1420000</c:v>
                </c:pt>
                <c:pt idx="1">
                  <c:v>80000</c:v>
                </c:pt>
                <c:pt idx="2" formatCode="0%">
                  <c:v>0.94666666666666666</c:v>
                </c:pt>
                <c:pt idx="3">
                  <c:v>810000</c:v>
                </c:pt>
                <c:pt idx="4" formatCode="_(* #,##0.0_);_(* \(#,##0.0\);_(* &quot;-&quot;??_);_(@_)">
                  <c:v>3.0864197530864197</c:v>
                </c:pt>
              </c:numCache>
            </c:numRef>
          </c:val>
          <c:extLst>
            <c:ext xmlns:c16="http://schemas.microsoft.com/office/drawing/2014/chart" uri="{C3380CC4-5D6E-409C-BE32-E72D297353CC}">
              <c16:uniqueId val="{00000000-20FA-4D8A-BBA7-1C509B72A3DA}"/>
            </c:ext>
          </c:extLst>
        </c:ser>
        <c:ser>
          <c:idx val="1"/>
          <c:order val="1"/>
          <c:tx>
            <c:strRef>
              <c:f>Dashboard!$C$4</c:f>
              <c:strCache>
                <c:ptCount val="1"/>
                <c:pt idx="0">
                  <c:v>Stress Case</c:v>
                </c:pt>
              </c:strCache>
            </c:strRef>
          </c:tx>
          <c:spPr>
            <a:solidFill>
              <a:schemeClr val="accent2"/>
            </a:solidFill>
            <a:ln>
              <a:noFill/>
              <a:prstDash val="solid"/>
            </a:ln>
          </c:spPr>
          <c:invertIfNegative val="0"/>
          <c:dLbls>
            <c:spPr>
              <a:noFill/>
              <a:ln>
                <a:noFill/>
                <a:prstDash val="solid"/>
              </a:ln>
            </c:spPr>
            <c:txPr>
              <a:bodyPr rot="0" spcFirstLastPara="1" vertOverflow="ellipsis" vert="horz" wrap="square" lIns="38100" tIns="19050" rIns="38100" bIns="19050" anchor="ctr" anchorCtr="1">
                <a:spAutoFit/>
              </a:bodyPr>
              <a:lstStyle/>
              <a:p>
                <a:pPr>
                  <a:defRPr sz="900" b="0" i="0" strike="noStrike" kern="1200" baseline="0">
                    <a:solidFill>
                      <a:schemeClr val="tx1">
                        <a:lumMod val="75000"/>
                        <a:lumOff val="25000"/>
                      </a:schemeClr>
                    </a:solidFill>
                    <a:latin typeface="+mn-lt"/>
                    <a:ea typeface="+mn-ea"/>
                    <a:cs typeface="+mn-cs"/>
                  </a:defRPr>
                </a:pPr>
                <a:endParaRPr lang="en-US"/>
              </a:p>
            </c:txPr>
            <c:dLblPos val="outEnd"/>
            <c:showLegendKey val="0"/>
            <c:showVal val="1"/>
            <c:showCatName val="0"/>
            <c:showSerName val="0"/>
            <c:showPercent val="0"/>
            <c:showBubbleSize val="0"/>
            <c:showLeaderLines val="0"/>
            <c:extLst>
              <c:ext xmlns:c15="http://schemas.microsoft.com/office/drawing/2012/chart" uri="{CE6537A1-D6FC-4f65-9D91-7224C49458BB}">
                <c15:showLeaderLines val="0"/>
              </c:ext>
            </c:extLst>
          </c:dLbls>
          <c:cat>
            <c:strRef>
              <c:f>Dashboard!$A$5:$A$9</c:f>
              <c:strCache>
                <c:ptCount val="5"/>
                <c:pt idx="0">
                  <c:v>Minimum Cash Position</c:v>
                </c:pt>
                <c:pt idx="1">
                  <c:v>Maximum Funding Gap</c:v>
                </c:pt>
                <c:pt idx="2">
                  <c:v>Current Buffer Coverage Ratio</c:v>
                </c:pt>
                <c:pt idx="3">
                  <c:v>Average Cash Burn</c:v>
                </c:pt>
                <c:pt idx="4">
                  <c:v>Cash Runway (Weeks)</c:v>
                </c:pt>
              </c:strCache>
            </c:strRef>
          </c:cat>
          <c:val>
            <c:numRef>
              <c:f>Dashboard!$C$5:$C$9</c:f>
              <c:numCache>
                <c:formatCode>_(* #,##0_);_(* \(#,##0\);_(* "-"??_);_(@_)</c:formatCode>
                <c:ptCount val="5"/>
                <c:pt idx="0">
                  <c:v>727000</c:v>
                </c:pt>
                <c:pt idx="1">
                  <c:v>773000</c:v>
                </c:pt>
                <c:pt idx="2" formatCode="0%">
                  <c:v>0.48466666666666669</c:v>
                </c:pt>
                <c:pt idx="3">
                  <c:v>857250</c:v>
                </c:pt>
                <c:pt idx="4" formatCode="_(* #,##0.0_);_(* \(#,##0.0\);_(* &quot;-&quot;??_);_(@_)">
                  <c:v>2.9163021289005542</c:v>
                </c:pt>
              </c:numCache>
            </c:numRef>
          </c:val>
          <c:extLst>
            <c:ext xmlns:c16="http://schemas.microsoft.com/office/drawing/2014/chart" uri="{C3380CC4-5D6E-409C-BE32-E72D297353CC}">
              <c16:uniqueId val="{00000001-20FA-4D8A-BBA7-1C509B72A3DA}"/>
            </c:ext>
          </c:extLst>
        </c:ser>
        <c:dLbls>
          <c:dLblPos val="outEnd"/>
          <c:showLegendKey val="0"/>
          <c:showVal val="1"/>
          <c:showCatName val="0"/>
          <c:showSerName val="0"/>
          <c:showPercent val="0"/>
          <c:showBubbleSize val="0"/>
        </c:dLbls>
        <c:gapWidth val="42"/>
        <c:axId val="1676006176"/>
        <c:axId val="1676004736"/>
      </c:barChart>
      <c:catAx>
        <c:axId val="1676006176"/>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prstDash val="solid"/>
            <a:round/>
          </a:ln>
        </c:spPr>
        <c:txPr>
          <a:bodyPr rot="-60000000" spcFirstLastPara="1" vertOverflow="ellipsis" vert="horz" wrap="square" anchor="ctr" anchorCtr="1"/>
          <a:lstStyle/>
          <a:p>
            <a:pPr>
              <a:defRPr sz="900" b="1" i="0" strike="noStrike" kern="1200" baseline="0">
                <a:solidFill>
                  <a:schemeClr val="tx1">
                    <a:lumMod val="65000"/>
                    <a:lumOff val="35000"/>
                  </a:schemeClr>
                </a:solidFill>
                <a:latin typeface="+mn-lt"/>
                <a:ea typeface="+mn-ea"/>
                <a:cs typeface="+mn-cs"/>
              </a:defRPr>
            </a:pPr>
            <a:endParaRPr lang="en-US"/>
          </a:p>
        </c:txPr>
        <c:crossAx val="1676004736"/>
        <c:crosses val="autoZero"/>
        <c:auto val="1"/>
        <c:lblAlgn val="ctr"/>
        <c:lblOffset val="100"/>
        <c:noMultiLvlLbl val="0"/>
      </c:catAx>
      <c:valAx>
        <c:axId val="1676004736"/>
        <c:scaling>
          <c:orientation val="minMax"/>
        </c:scaling>
        <c:delete val="0"/>
        <c:axPos val="b"/>
        <c:numFmt formatCode="_(* #,##0_);_(* \(#,##0\);_(* &quot;-&quot;??_);_(@_)" sourceLinked="1"/>
        <c:majorTickMark val="none"/>
        <c:minorTickMark val="none"/>
        <c:tickLblPos val="nextTo"/>
        <c:spPr>
          <a:noFill/>
          <a:ln>
            <a:noFill/>
            <a:prstDash val="solid"/>
          </a:ln>
        </c:spPr>
        <c:txPr>
          <a:bodyPr rot="-60000000" spcFirstLastPara="1" vertOverflow="ellipsis" vert="horz" wrap="square" anchor="ctr" anchorCtr="1"/>
          <a:lstStyle/>
          <a:p>
            <a:pPr>
              <a:defRPr sz="900" b="1" i="0" strike="noStrike" kern="1200" baseline="0">
                <a:solidFill>
                  <a:schemeClr val="tx1">
                    <a:lumMod val="65000"/>
                    <a:lumOff val="35000"/>
                  </a:schemeClr>
                </a:solidFill>
                <a:latin typeface="+mn-lt"/>
                <a:ea typeface="+mn-ea"/>
                <a:cs typeface="+mn-cs"/>
              </a:defRPr>
            </a:pPr>
            <a:endParaRPr lang="en-US"/>
          </a:p>
        </c:txPr>
        <c:crossAx val="1676006176"/>
        <c:crosses val="autoZero"/>
        <c:crossBetween val="between"/>
      </c:valAx>
    </c:plotArea>
    <c:legend>
      <c:legendPos val="b"/>
      <c:overlay val="0"/>
      <c:spPr>
        <a:noFill/>
        <a:ln>
          <a:noFill/>
          <a:prstDash val="solid"/>
        </a:ln>
      </c:spPr>
      <c:txPr>
        <a:bodyPr rot="0" spcFirstLastPara="1" vertOverflow="ellipsis" vert="horz" wrap="square" anchor="ctr" anchorCtr="1"/>
        <a:lstStyle/>
        <a:p>
          <a:pPr>
            <a:defRPr sz="900" b="1" i="0"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1"/>
  </c:chart>
  <c:spPr>
    <a:solidFill>
      <a:schemeClr val="bg1"/>
    </a:solidFill>
    <a:ln w="9525" cap="flat" cmpd="sng" algn="ctr">
      <a:solidFill>
        <a:schemeClr val="tx1">
          <a:lumMod val="15000"/>
          <a:lumOff val="85000"/>
        </a:schemeClr>
      </a:solidFill>
      <a:prstDash val="solid"/>
      <a:round/>
    </a:ln>
  </c:sp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n-US"/>
  <c:roundedCorners val="1"/>
  <c:style val="2"/>
  <c:chart>
    <c:title>
      <c:tx>
        <c:rich>
          <a:bodyPr rot="0" spcFirstLastPara="1" vertOverflow="ellipsis" vert="horz" wrap="square" anchor="ctr" anchorCtr="1"/>
          <a:lstStyle/>
          <a:p>
            <a:pPr>
              <a:defRPr sz="1400" b="0" i="0" strike="noStrike" kern="1200" spc="0" baseline="0">
                <a:solidFill>
                  <a:schemeClr val="tx1">
                    <a:lumMod val="65000"/>
                    <a:lumOff val="35000"/>
                  </a:schemeClr>
                </a:solidFill>
                <a:latin typeface="+mn-lt"/>
                <a:ea typeface="+mn-ea"/>
                <a:cs typeface="+mn-cs"/>
              </a:defRPr>
            </a:pPr>
            <a:r>
              <a:rPr lang="en-US" b="1"/>
              <a:t>Cash Performance KPI</a:t>
            </a:r>
          </a:p>
        </c:rich>
      </c:tx>
      <c:overlay val="0"/>
      <c:spPr>
        <a:noFill/>
        <a:ln>
          <a:noFill/>
          <a:prstDash val="solid"/>
        </a:ln>
      </c:spPr>
    </c:title>
    <c:autoTitleDeleted val="0"/>
    <c:plotArea>
      <c:layout>
        <c:manualLayout>
          <c:layoutTarget val="inner"/>
          <c:xMode val="edge"/>
          <c:yMode val="edge"/>
          <c:x val="0.22437992125984249"/>
          <c:y val="0.17171296296296301"/>
          <c:w val="0.68266972878390197"/>
          <c:h val="0.61498432487605714"/>
        </c:manualLayout>
      </c:layout>
      <c:barChart>
        <c:barDir val="bar"/>
        <c:grouping val="clustered"/>
        <c:varyColors val="0"/>
        <c:ser>
          <c:idx val="0"/>
          <c:order val="0"/>
          <c:tx>
            <c:strRef>
              <c:f>Dashboard!$B$11</c:f>
              <c:strCache>
                <c:ptCount val="1"/>
                <c:pt idx="0">
                  <c:v>Base Case</c:v>
                </c:pt>
              </c:strCache>
            </c:strRef>
          </c:tx>
          <c:spPr>
            <a:solidFill>
              <a:schemeClr val="accent1"/>
            </a:solidFill>
            <a:ln>
              <a:noFill/>
              <a:prstDash val="solid"/>
            </a:ln>
          </c:spPr>
          <c:invertIfNegative val="0"/>
          <c:cat>
            <c:strRef>
              <c:f>Dashboard!$A$12:$A$17</c:f>
              <c:strCache>
                <c:ptCount val="6"/>
                <c:pt idx="0">
                  <c:v>Average Weekly Cash Movement</c:v>
                </c:pt>
                <c:pt idx="1">
                  <c:v>Worst Weekly Net Cash Flow</c:v>
                </c:pt>
                <c:pt idx="2">
                  <c:v>Total Net Cash Movement</c:v>
                </c:pt>
                <c:pt idx="3">
                  <c:v>Average Weekly Cash balance</c:v>
                </c:pt>
                <c:pt idx="4">
                  <c:v>Total Collection</c:v>
                </c:pt>
                <c:pt idx="5">
                  <c:v>Total Outflow</c:v>
                </c:pt>
              </c:strCache>
            </c:strRef>
          </c:cat>
          <c:val>
            <c:numRef>
              <c:f>Dashboard!$B$12:$B$17</c:f>
              <c:numCache>
                <c:formatCode>_(* #,##0_);_(* \(#,##0\);_(* "-"??_);_(@_)</c:formatCode>
                <c:ptCount val="6"/>
                <c:pt idx="0">
                  <c:v>-62307.692307692305</c:v>
                </c:pt>
                <c:pt idx="1">
                  <c:v>-1030000</c:v>
                </c:pt>
                <c:pt idx="2">
                  <c:v>-810000</c:v>
                </c:pt>
                <c:pt idx="3">
                  <c:v>2170000</c:v>
                </c:pt>
                <c:pt idx="4">
                  <c:v>14400000</c:v>
                </c:pt>
                <c:pt idx="5">
                  <c:v>15860000</c:v>
                </c:pt>
              </c:numCache>
            </c:numRef>
          </c:val>
          <c:extLst>
            <c:ext xmlns:c16="http://schemas.microsoft.com/office/drawing/2014/chart" uri="{C3380CC4-5D6E-409C-BE32-E72D297353CC}">
              <c16:uniqueId val="{00000000-4AB1-4C7E-A670-8E0DDC07EF31}"/>
            </c:ext>
          </c:extLst>
        </c:ser>
        <c:ser>
          <c:idx val="1"/>
          <c:order val="1"/>
          <c:tx>
            <c:strRef>
              <c:f>Dashboard!$C$11</c:f>
              <c:strCache>
                <c:ptCount val="1"/>
                <c:pt idx="0">
                  <c:v>Stress Case</c:v>
                </c:pt>
              </c:strCache>
            </c:strRef>
          </c:tx>
          <c:spPr>
            <a:solidFill>
              <a:schemeClr val="accent2"/>
            </a:solidFill>
            <a:ln>
              <a:noFill/>
              <a:prstDash val="solid"/>
            </a:ln>
          </c:spPr>
          <c:invertIfNegative val="0"/>
          <c:cat>
            <c:strRef>
              <c:f>Dashboard!$A$12:$A$17</c:f>
              <c:strCache>
                <c:ptCount val="6"/>
                <c:pt idx="0">
                  <c:v>Average Weekly Cash Movement</c:v>
                </c:pt>
                <c:pt idx="1">
                  <c:v>Worst Weekly Net Cash Flow</c:v>
                </c:pt>
                <c:pt idx="2">
                  <c:v>Total Net Cash Movement</c:v>
                </c:pt>
                <c:pt idx="3">
                  <c:v>Average Weekly Cash balance</c:v>
                </c:pt>
                <c:pt idx="4">
                  <c:v>Total Collection</c:v>
                </c:pt>
                <c:pt idx="5">
                  <c:v>Total Outflow</c:v>
                </c:pt>
              </c:strCache>
            </c:strRef>
          </c:cat>
          <c:val>
            <c:numRef>
              <c:f>Dashboard!$C$12:$C$17</c:f>
              <c:numCache>
                <c:formatCode>_(* #,##0_);_(* \(#,##0\);_(* "-"??_);_(@_)</c:formatCode>
                <c:ptCount val="6"/>
                <c:pt idx="0">
                  <c:v>-120461.53846153847</c:v>
                </c:pt>
                <c:pt idx="1">
                  <c:v>-1093000</c:v>
                </c:pt>
                <c:pt idx="2">
                  <c:v>-1566000</c:v>
                </c:pt>
                <c:pt idx="3">
                  <c:v>1792000</c:v>
                </c:pt>
                <c:pt idx="4">
                  <c:v>12240000</c:v>
                </c:pt>
                <c:pt idx="5">
                  <c:v>14456000</c:v>
                </c:pt>
              </c:numCache>
            </c:numRef>
          </c:val>
          <c:extLst>
            <c:ext xmlns:c16="http://schemas.microsoft.com/office/drawing/2014/chart" uri="{C3380CC4-5D6E-409C-BE32-E72D297353CC}">
              <c16:uniqueId val="{00000001-4AB1-4C7E-A670-8E0DDC07EF31}"/>
            </c:ext>
          </c:extLst>
        </c:ser>
        <c:dLbls>
          <c:showLegendKey val="0"/>
          <c:showVal val="0"/>
          <c:showCatName val="0"/>
          <c:showSerName val="0"/>
          <c:showPercent val="0"/>
          <c:showBubbleSize val="0"/>
        </c:dLbls>
        <c:gapWidth val="82"/>
        <c:axId val="2010507872"/>
        <c:axId val="2010494912"/>
      </c:barChart>
      <c:catAx>
        <c:axId val="2010507872"/>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prstDash val="solid"/>
            <a:round/>
          </a:ln>
        </c:spPr>
        <c:txPr>
          <a:bodyPr rot="-60000000" spcFirstLastPara="1" vertOverflow="ellipsis" vert="horz" wrap="square" anchor="ctr" anchorCtr="1"/>
          <a:lstStyle/>
          <a:p>
            <a:pPr>
              <a:defRPr sz="900" b="1" i="0" strike="noStrike" kern="1200" baseline="0">
                <a:solidFill>
                  <a:schemeClr val="tx1">
                    <a:lumMod val="65000"/>
                    <a:lumOff val="35000"/>
                  </a:schemeClr>
                </a:solidFill>
                <a:latin typeface="+mn-lt"/>
                <a:ea typeface="+mn-ea"/>
                <a:cs typeface="+mn-cs"/>
              </a:defRPr>
            </a:pPr>
            <a:endParaRPr lang="en-US"/>
          </a:p>
        </c:txPr>
        <c:crossAx val="2010494912"/>
        <c:crosses val="autoZero"/>
        <c:auto val="1"/>
        <c:lblAlgn val="ctr"/>
        <c:lblOffset val="100"/>
        <c:noMultiLvlLbl val="0"/>
      </c:catAx>
      <c:valAx>
        <c:axId val="2010494912"/>
        <c:scaling>
          <c:orientation val="minMax"/>
        </c:scaling>
        <c:delete val="0"/>
        <c:axPos val="b"/>
        <c:numFmt formatCode="_(* #,##0_);_(* \(#,##0\);_(* &quot;-&quot;??_);_(@_)" sourceLinked="1"/>
        <c:majorTickMark val="none"/>
        <c:minorTickMark val="none"/>
        <c:tickLblPos val="nextTo"/>
        <c:spPr>
          <a:noFill/>
          <a:ln>
            <a:noFill/>
            <a:prstDash val="solid"/>
          </a:ln>
        </c:spPr>
        <c:txPr>
          <a:bodyPr rot="-60000000" spcFirstLastPara="1" vertOverflow="ellipsis" vert="horz" wrap="square" anchor="ctr" anchorCtr="1"/>
          <a:lstStyle/>
          <a:p>
            <a:pPr>
              <a:defRPr sz="900" b="1" i="0" strike="noStrike" kern="1200" baseline="0">
                <a:solidFill>
                  <a:schemeClr val="tx1">
                    <a:lumMod val="65000"/>
                    <a:lumOff val="35000"/>
                  </a:schemeClr>
                </a:solidFill>
                <a:latin typeface="+mn-lt"/>
                <a:ea typeface="+mn-ea"/>
                <a:cs typeface="+mn-cs"/>
              </a:defRPr>
            </a:pPr>
            <a:endParaRPr lang="en-US"/>
          </a:p>
        </c:txPr>
        <c:crossAx val="2010507872"/>
        <c:crosses val="autoZero"/>
        <c:crossBetween val="between"/>
      </c:valAx>
    </c:plotArea>
    <c:legend>
      <c:legendPos val="b"/>
      <c:overlay val="0"/>
      <c:spPr>
        <a:noFill/>
        <a:ln>
          <a:noFill/>
          <a:prstDash val="solid"/>
        </a:ln>
      </c:spPr>
      <c:txPr>
        <a:bodyPr rot="0" spcFirstLastPara="1" vertOverflow="ellipsis" vert="horz" wrap="square" anchor="ctr" anchorCtr="1"/>
        <a:lstStyle/>
        <a:p>
          <a:pPr>
            <a:defRPr sz="900" b="1" i="0" strike="noStrike" kern="1200" baseline="0">
              <a:solidFill>
                <a:schemeClr val="tx1">
                  <a:lumMod val="65000"/>
                  <a:lumOff val="35000"/>
                </a:schemeClr>
              </a:solidFill>
              <a:latin typeface="+mn-lt"/>
              <a:ea typeface="+mn-ea"/>
              <a:cs typeface="+mn-cs"/>
            </a:defRPr>
          </a:pPr>
          <a:endParaRPr lang="en-US"/>
        </a:p>
      </c:txPr>
    </c:legend>
    <c:plotVisOnly val="1"/>
    <c:dispBlanksAs val="gap"/>
    <c:showDLblsOverMax val="1"/>
  </c:chart>
  <c:spPr>
    <a:solidFill>
      <a:schemeClr val="bg1"/>
    </a:solidFill>
    <a:ln w="9525" cap="flat" cmpd="sng" algn="ctr">
      <a:solidFill>
        <a:schemeClr val="tx1">
          <a:lumMod val="15000"/>
          <a:lumOff val="85000"/>
        </a:schemeClr>
      </a:solidFill>
      <a:prstDash val="solid"/>
      <a:round/>
    </a:ln>
  </c:spPr>
  <c:printSettings>
    <c:headerFooter/>
    <c:pageMargins b="0.75" l="0.7" r="0.7" t="0.75" header="0.3" footer="0.3"/>
    <c:pageSetup/>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drawing1.xml><?xml version="1.0" encoding="utf-8"?>
<xdr:wsDr xmlns:xdr="http://schemas.openxmlformats.org/drawingml/2006/spreadsheetDrawing" xmlns:a="http://schemas.openxmlformats.org/drawingml/2006/main">
  <xdr:twoCellAnchor>
    <xdr:from>
      <xdr:col>4</xdr:col>
      <xdr:colOff>609599</xdr:colOff>
      <xdr:row>0</xdr:row>
      <xdr:rowOff>100012</xdr:rowOff>
    </xdr:from>
    <xdr:to>
      <xdr:col>14</xdr:col>
      <xdr:colOff>409574</xdr:colOff>
      <xdr:row>8</xdr:row>
      <xdr:rowOff>290512</xdr:rowOff>
    </xdr:to>
    <xdr:graphicFrame macro="">
      <xdr:nvGraphicFramePr>
        <xdr:cNvPr id="2" name="Chart 1">
          <a:extLst>
            <a:ext uri="{FF2B5EF4-FFF2-40B4-BE49-F238E27FC236}">
              <a16:creationId xmlns:a16="http://schemas.microsoft.com/office/drawing/2014/main" id="{00000000-0008-0000-03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5</xdr:col>
      <xdr:colOff>104774</xdr:colOff>
      <xdr:row>9</xdr:row>
      <xdr:rowOff>166687</xdr:rowOff>
    </xdr:from>
    <xdr:to>
      <xdr:col>14</xdr:col>
      <xdr:colOff>514349</xdr:colOff>
      <xdr:row>20</xdr:row>
      <xdr:rowOff>90487</xdr:rowOff>
    </xdr:to>
    <xdr:graphicFrame macro="">
      <xdr:nvGraphicFramePr>
        <xdr:cNvPr id="3" name="Chart 2">
          <a:extLst>
            <a:ext uri="{FF2B5EF4-FFF2-40B4-BE49-F238E27FC236}">
              <a16:creationId xmlns:a16="http://schemas.microsoft.com/office/drawing/2014/main" id="{00000000-0008-0000-0300-000003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C000"/>
  </sheetPr>
  <dimension ref="B3:O16"/>
  <sheetViews>
    <sheetView showGridLines="0" tabSelected="1" view="pageBreakPreview" zoomScaleNormal="100" zoomScaleSheetLayoutView="100" workbookViewId="0">
      <selection activeCell="B7" sqref="B7:O7"/>
    </sheetView>
  </sheetViews>
  <sheetFormatPr defaultRowHeight="15" x14ac:dyDescent="0.25"/>
  <sheetData>
    <row r="3" spans="2:15" ht="31.5" customHeight="1" x14ac:dyDescent="0.25">
      <c r="B3" s="59" t="s">
        <v>0</v>
      </c>
      <c r="C3" s="60"/>
      <c r="D3" s="60"/>
      <c r="E3" s="60"/>
      <c r="F3" s="60"/>
      <c r="G3" s="60"/>
      <c r="H3" s="60"/>
      <c r="I3" s="60"/>
      <c r="J3" s="60"/>
      <c r="K3" s="60"/>
      <c r="L3" s="60"/>
      <c r="M3" s="60"/>
      <c r="N3" s="60"/>
    </row>
    <row r="5" spans="2:15" ht="18" customHeight="1" x14ac:dyDescent="0.25">
      <c r="B5" s="12" t="s">
        <v>1</v>
      </c>
    </row>
    <row r="6" spans="2:15" ht="18" customHeight="1" x14ac:dyDescent="0.25">
      <c r="B6" s="12"/>
    </row>
    <row r="7" spans="2:15" ht="74.25" customHeight="1" x14ac:dyDescent="0.25">
      <c r="B7" s="75" t="s">
        <v>2</v>
      </c>
      <c r="C7" s="76"/>
      <c r="D7" s="76"/>
      <c r="E7" s="76"/>
      <c r="F7" s="76"/>
      <c r="G7" s="76"/>
      <c r="H7" s="76"/>
      <c r="I7" s="76"/>
      <c r="J7" s="76"/>
      <c r="K7" s="76"/>
      <c r="L7" s="76"/>
      <c r="M7" s="76"/>
      <c r="N7" s="76"/>
      <c r="O7" s="76"/>
    </row>
    <row r="8" spans="2:15" ht="18" customHeight="1" x14ac:dyDescent="0.25">
      <c r="B8" s="12" t="s">
        <v>3</v>
      </c>
    </row>
    <row r="10" spans="2:15" ht="60.75" customHeight="1" x14ac:dyDescent="0.25">
      <c r="B10" s="75" t="s">
        <v>4</v>
      </c>
      <c r="C10" s="76"/>
      <c r="D10" s="76"/>
      <c r="E10" s="76"/>
      <c r="F10" s="76"/>
      <c r="G10" s="76"/>
      <c r="H10" s="76"/>
      <c r="I10" s="76"/>
      <c r="J10" s="76"/>
      <c r="K10" s="76"/>
      <c r="L10" s="76"/>
      <c r="M10" s="76"/>
      <c r="N10" s="76"/>
      <c r="O10" s="76"/>
    </row>
    <row r="11" spans="2:15" ht="18" customHeight="1" x14ac:dyDescent="0.25">
      <c r="B11" s="12" t="s">
        <v>5</v>
      </c>
    </row>
    <row r="12" spans="2:15" ht="8.25" customHeight="1" x14ac:dyDescent="0.25"/>
    <row r="13" spans="2:15" ht="56.25" customHeight="1" x14ac:dyDescent="0.25">
      <c r="B13" s="75" t="s">
        <v>6</v>
      </c>
      <c r="C13" s="76"/>
      <c r="D13" s="76"/>
      <c r="E13" s="76"/>
      <c r="F13" s="76"/>
      <c r="G13" s="76"/>
      <c r="H13" s="76"/>
      <c r="I13" s="76"/>
      <c r="J13" s="76"/>
      <c r="K13" s="76"/>
      <c r="L13" s="76"/>
      <c r="M13" s="76"/>
      <c r="N13" s="76"/>
      <c r="O13" s="76"/>
    </row>
    <row r="14" spans="2:15" ht="18" customHeight="1" x14ac:dyDescent="0.25">
      <c r="B14" s="12" t="s">
        <v>7</v>
      </c>
    </row>
    <row r="16" spans="2:15" ht="56.25" customHeight="1" x14ac:dyDescent="0.25">
      <c r="B16" s="75" t="s">
        <v>8</v>
      </c>
      <c r="C16" s="76"/>
      <c r="D16" s="76"/>
      <c r="E16" s="76"/>
      <c r="F16" s="76"/>
      <c r="G16" s="76"/>
      <c r="H16" s="76"/>
      <c r="I16" s="76"/>
      <c r="J16" s="76"/>
      <c r="K16" s="76"/>
      <c r="L16" s="76"/>
      <c r="M16" s="76"/>
      <c r="N16" s="76"/>
      <c r="O16" s="76"/>
    </row>
  </sheetData>
  <mergeCells count="4">
    <mergeCell ref="B7:O7"/>
    <mergeCell ref="B13:O13"/>
    <mergeCell ref="B16:O16"/>
    <mergeCell ref="B10:O10"/>
  </mergeCells>
  <pageMargins left="0.7" right="0.7" top="0.75" bottom="0.75" header="0.3" footer="0.3"/>
  <pageSetup scale="70"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FFC000"/>
  </sheetPr>
  <dimension ref="A1:D25"/>
  <sheetViews>
    <sheetView workbookViewId="0">
      <selection activeCell="B7" sqref="B7:O7"/>
    </sheetView>
  </sheetViews>
  <sheetFormatPr defaultRowHeight="15" x14ac:dyDescent="0.25"/>
  <cols>
    <col min="1" max="1" width="54.7109375" customWidth="1"/>
    <col min="2" max="2" width="22" customWidth="1"/>
    <col min="3" max="3" width="32.42578125" bestFit="1" customWidth="1"/>
  </cols>
  <sheetData>
    <row r="1" spans="1:4" ht="18.75" customHeight="1" x14ac:dyDescent="0.3">
      <c r="A1" s="9" t="s">
        <v>9</v>
      </c>
      <c r="B1" s="10"/>
      <c r="C1" s="1"/>
      <c r="D1" s="1"/>
    </row>
    <row r="2" spans="1:4" x14ac:dyDescent="0.25">
      <c r="A2" s="5" t="s">
        <v>10</v>
      </c>
      <c r="B2" s="2">
        <v>2500000</v>
      </c>
      <c r="C2" s="1"/>
      <c r="D2" s="1"/>
    </row>
    <row r="3" spans="1:4" x14ac:dyDescent="0.25">
      <c r="A3" s="5" t="s">
        <v>11</v>
      </c>
      <c r="B3" s="2">
        <v>1200000</v>
      </c>
      <c r="C3" s="1"/>
      <c r="D3" s="1"/>
    </row>
    <row r="4" spans="1:4" x14ac:dyDescent="0.25">
      <c r="A4" s="5" t="s">
        <v>12</v>
      </c>
      <c r="B4" s="2">
        <v>0</v>
      </c>
      <c r="C4" s="1"/>
      <c r="D4" s="1"/>
    </row>
    <row r="5" spans="1:4" x14ac:dyDescent="0.25">
      <c r="A5" s="5" t="s">
        <v>13</v>
      </c>
      <c r="B5" s="58">
        <v>0.35</v>
      </c>
      <c r="C5" s="1"/>
      <c r="D5" s="1"/>
    </row>
    <row r="6" spans="1:4" x14ac:dyDescent="0.25">
      <c r="A6" s="5"/>
      <c r="B6" s="58"/>
      <c r="C6" s="1"/>
      <c r="D6" s="1"/>
    </row>
    <row r="7" spans="1:4" x14ac:dyDescent="0.25">
      <c r="A7" s="5" t="s">
        <v>14</v>
      </c>
      <c r="B7" s="2">
        <v>50000</v>
      </c>
      <c r="C7" s="1"/>
      <c r="D7" s="1"/>
    </row>
    <row r="8" spans="1:4" x14ac:dyDescent="0.25">
      <c r="A8" s="5" t="s">
        <v>15</v>
      </c>
      <c r="B8" s="2">
        <v>200000</v>
      </c>
      <c r="C8" s="1"/>
      <c r="D8" s="1"/>
    </row>
    <row r="9" spans="1:4" x14ac:dyDescent="0.25">
      <c r="A9" s="5" t="s">
        <v>16</v>
      </c>
      <c r="B9" s="2">
        <v>1000000</v>
      </c>
      <c r="C9" s="1"/>
      <c r="D9" s="1"/>
    </row>
    <row r="10" spans="1:4" x14ac:dyDescent="0.25">
      <c r="A10" s="5" t="s">
        <v>17</v>
      </c>
      <c r="B10" s="2">
        <v>5000000</v>
      </c>
      <c r="C10" s="1"/>
      <c r="D10" s="1"/>
    </row>
    <row r="11" spans="1:4" x14ac:dyDescent="0.25">
      <c r="A11" s="5" t="s">
        <v>18</v>
      </c>
      <c r="B11" s="2">
        <v>0.12</v>
      </c>
      <c r="C11" s="1"/>
      <c r="D11" s="1"/>
    </row>
    <row r="12" spans="1:4" x14ac:dyDescent="0.25">
      <c r="A12" s="5" t="s">
        <v>19</v>
      </c>
      <c r="B12" s="2">
        <v>300000</v>
      </c>
      <c r="C12" s="1"/>
      <c r="D12" s="1"/>
    </row>
    <row r="13" spans="1:4" x14ac:dyDescent="0.25">
      <c r="A13" s="5" t="s">
        <v>20</v>
      </c>
      <c r="B13" s="2">
        <v>1500000</v>
      </c>
      <c r="C13" s="1"/>
      <c r="D13" s="1"/>
    </row>
    <row r="14" spans="1:4" x14ac:dyDescent="0.25">
      <c r="A14" s="6"/>
      <c r="B14" s="2"/>
      <c r="C14" s="1"/>
      <c r="D14" s="1"/>
    </row>
    <row r="15" spans="1:4" x14ac:dyDescent="0.25">
      <c r="A15" s="6" t="s">
        <v>21</v>
      </c>
      <c r="B15" s="2">
        <f>B3*(1+B4)</f>
        <v>1200000</v>
      </c>
      <c r="C15" s="1"/>
      <c r="D15" s="1"/>
    </row>
    <row r="16" spans="1:4" x14ac:dyDescent="0.25">
      <c r="A16" s="7" t="s">
        <v>22</v>
      </c>
      <c r="B16" s="2">
        <f>$B$3*(1+$B$18)</f>
        <v>1020000</v>
      </c>
      <c r="C16" s="1"/>
      <c r="D16" s="1"/>
    </row>
    <row r="17" spans="1:4" x14ac:dyDescent="0.25">
      <c r="A17" s="3"/>
      <c r="B17" s="54"/>
      <c r="C17" s="1"/>
      <c r="D17" s="1"/>
    </row>
    <row r="18" spans="1:4" x14ac:dyDescent="0.25">
      <c r="A18" s="11" t="s">
        <v>23</v>
      </c>
      <c r="B18" s="55">
        <v>-0.15</v>
      </c>
      <c r="C18" s="8" t="s">
        <v>24</v>
      </c>
      <c r="D18" s="1"/>
    </row>
    <row r="19" spans="1:4" x14ac:dyDescent="0.25">
      <c r="A19" s="1" t="s">
        <v>25</v>
      </c>
      <c r="B19" s="56"/>
      <c r="C19" s="1"/>
      <c r="D19" s="1"/>
    </row>
    <row r="20" spans="1:4" x14ac:dyDescent="0.25">
      <c r="A20" s="4" t="s">
        <v>26</v>
      </c>
      <c r="B20" s="57">
        <v>-0.1</v>
      </c>
      <c r="C20" s="1"/>
      <c r="D20" s="1"/>
    </row>
    <row r="21" spans="1:4" x14ac:dyDescent="0.25">
      <c r="A21" s="4" t="s">
        <v>27</v>
      </c>
      <c r="B21" s="57">
        <v>-0.15</v>
      </c>
      <c r="C21" s="1"/>
      <c r="D21" s="1"/>
    </row>
    <row r="22" spans="1:4" x14ac:dyDescent="0.25">
      <c r="A22" s="4" t="s">
        <v>28</v>
      </c>
      <c r="B22" s="57">
        <v>-0.2</v>
      </c>
      <c r="C22" s="1"/>
      <c r="D22" s="1"/>
    </row>
    <row r="23" spans="1:4" x14ac:dyDescent="0.25">
      <c r="A23" s="4" t="s">
        <v>29</v>
      </c>
      <c r="B23" s="57">
        <v>0.1</v>
      </c>
      <c r="C23" s="1"/>
      <c r="D23" s="1"/>
    </row>
    <row r="24" spans="1:4" x14ac:dyDescent="0.25">
      <c r="A24" s="4" t="s">
        <v>30</v>
      </c>
      <c r="B24" s="57">
        <v>0.15</v>
      </c>
      <c r="C24" s="1"/>
      <c r="D24" s="1"/>
    </row>
    <row r="25" spans="1:4" x14ac:dyDescent="0.25">
      <c r="A25" s="4" t="s">
        <v>31</v>
      </c>
      <c r="B25" s="57">
        <v>0.2</v>
      </c>
      <c r="C25" s="1"/>
      <c r="D25" s="1"/>
    </row>
  </sheetData>
  <dataValidations count="1">
    <dataValidation type="list" allowBlank="1" showInputMessage="1" showErrorMessage="1" sqref="B18:B25" xr:uid="{00000000-0002-0000-0100-000000000000}">
      <formula1>$B$20:$B$25</formula1>
    </dataValidation>
  </dataValidations>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AE24"/>
  <sheetViews>
    <sheetView workbookViewId="0">
      <pane xSplit="1" ySplit="4" topLeftCell="B5" activePane="bottomRight" state="frozen"/>
      <selection activeCell="B7" sqref="B7:O7"/>
      <selection pane="topRight" activeCell="B7" sqref="B7:O7"/>
      <selection pane="bottomLeft" activeCell="B7" sqref="B7:O7"/>
      <selection pane="bottomRight" activeCell="A2" sqref="A2"/>
    </sheetView>
  </sheetViews>
  <sheetFormatPr defaultRowHeight="15" x14ac:dyDescent="0.25"/>
  <cols>
    <col min="1" max="1" width="68.5703125" style="13" customWidth="1"/>
    <col min="2" max="4" width="15.28515625" style="13" bestFit="1" customWidth="1"/>
    <col min="5" max="5" width="16" style="13" bestFit="1" customWidth="1"/>
    <col min="6" max="8" width="15.28515625" style="13" bestFit="1" customWidth="1"/>
    <col min="9" max="9" width="16" style="13" bestFit="1" customWidth="1"/>
    <col min="10" max="12" width="15.28515625" style="13" bestFit="1" customWidth="1"/>
    <col min="13" max="13" width="16" style="13" bestFit="1" customWidth="1"/>
    <col min="14" max="14" width="15.28515625" style="13" bestFit="1" customWidth="1"/>
    <col min="15" max="15" width="12.7109375" style="13" bestFit="1" customWidth="1"/>
    <col min="16" max="16" width="1.5703125" style="13" customWidth="1"/>
    <col min="17" max="19" width="11.5703125" style="13" bestFit="1" customWidth="1"/>
    <col min="20" max="20" width="12.28515625" style="13" bestFit="1" customWidth="1"/>
    <col min="21" max="23" width="11.5703125" style="13" bestFit="1" customWidth="1"/>
    <col min="24" max="24" width="12.28515625" style="13" bestFit="1" customWidth="1"/>
    <col min="25" max="27" width="11.5703125" style="13" bestFit="1" customWidth="1"/>
    <col min="28" max="28" width="12.28515625" style="13" bestFit="1" customWidth="1"/>
    <col min="29" max="29" width="11.5703125" style="13" bestFit="1" customWidth="1"/>
    <col min="30" max="30" width="12.7109375" style="13" bestFit="1" customWidth="1"/>
    <col min="31" max="31" width="9.140625" style="13" customWidth="1"/>
    <col min="32" max="16384" width="9.140625" style="13"/>
  </cols>
  <sheetData>
    <row r="1" spans="1:31" ht="25.5" customHeight="1" x14ac:dyDescent="0.35">
      <c r="A1" s="53" t="s">
        <v>32</v>
      </c>
      <c r="B1" s="37"/>
      <c r="C1" s="37"/>
      <c r="D1" s="37"/>
      <c r="E1" s="37"/>
      <c r="F1" s="37"/>
      <c r="G1" s="37"/>
      <c r="H1" s="37"/>
      <c r="I1" s="37"/>
      <c r="J1" s="37"/>
      <c r="K1" s="37"/>
      <c r="L1" s="37"/>
      <c r="M1" s="37"/>
      <c r="N1" s="37"/>
      <c r="O1" s="37"/>
      <c r="P1" s="38"/>
      <c r="Q1" s="39" t="s">
        <v>33</v>
      </c>
      <c r="R1" s="40"/>
      <c r="S1" s="40"/>
      <c r="T1" s="40"/>
      <c r="U1" s="40"/>
      <c r="V1" s="40"/>
      <c r="W1" s="40"/>
      <c r="X1" s="40"/>
      <c r="Y1" s="40"/>
      <c r="Z1" s="40"/>
      <c r="AA1" s="40"/>
      <c r="AB1" s="40"/>
      <c r="AC1" s="40"/>
      <c r="AD1" s="40"/>
      <c r="AE1" s="40"/>
    </row>
    <row r="2" spans="1:31" ht="25.5" customHeight="1" x14ac:dyDescent="0.35">
      <c r="A2" s="53" t="s">
        <v>34</v>
      </c>
      <c r="B2" s="37"/>
      <c r="C2" s="37"/>
      <c r="D2" s="37"/>
      <c r="E2" s="37"/>
      <c r="F2" s="37"/>
      <c r="G2" s="37"/>
      <c r="H2" s="37"/>
      <c r="I2" s="37"/>
      <c r="J2" s="37"/>
      <c r="K2" s="37"/>
      <c r="L2" s="37"/>
      <c r="M2" s="37"/>
      <c r="N2" s="37"/>
      <c r="O2" s="37"/>
      <c r="P2" s="38"/>
      <c r="Q2" s="39"/>
      <c r="R2" s="40"/>
      <c r="S2" s="40"/>
      <c r="T2" s="40"/>
      <c r="U2" s="40"/>
      <c r="V2" s="40"/>
      <c r="W2" s="40"/>
      <c r="X2" s="40"/>
      <c r="Y2" s="40"/>
      <c r="Z2" s="40"/>
      <c r="AA2" s="40"/>
      <c r="AB2" s="40"/>
      <c r="AC2" s="40"/>
      <c r="AD2" s="40"/>
      <c r="AE2" s="40"/>
    </row>
    <row r="3" spans="1:31" ht="18.75" customHeight="1" x14ac:dyDescent="0.3">
      <c r="A3" s="77" t="s">
        <v>35</v>
      </c>
      <c r="B3" s="78"/>
      <c r="C3" s="78"/>
      <c r="D3" s="78"/>
      <c r="E3" s="78"/>
      <c r="F3" s="78"/>
      <c r="G3" s="78"/>
      <c r="H3" s="78"/>
      <c r="I3" s="78"/>
      <c r="J3" s="78"/>
      <c r="K3" s="78"/>
      <c r="L3" s="78"/>
      <c r="M3" s="78"/>
      <c r="N3" s="78"/>
      <c r="O3" s="78"/>
      <c r="P3" s="38"/>
      <c r="Q3" s="77" t="s">
        <v>36</v>
      </c>
      <c r="R3" s="78"/>
      <c r="S3" s="78"/>
      <c r="T3" s="78"/>
      <c r="U3" s="78"/>
      <c r="V3" s="78"/>
      <c r="W3" s="78"/>
      <c r="X3" s="78"/>
      <c r="Y3" s="78"/>
      <c r="Z3" s="78"/>
      <c r="AA3" s="78"/>
      <c r="AB3" s="78"/>
      <c r="AC3" s="78"/>
      <c r="AD3" s="78"/>
      <c r="AE3" s="78"/>
    </row>
    <row r="4" spans="1:31" ht="30" customHeight="1" x14ac:dyDescent="0.25">
      <c r="A4" s="41" t="s">
        <v>37</v>
      </c>
      <c r="B4" s="41" t="s">
        <v>38</v>
      </c>
      <c r="C4" s="41" t="s">
        <v>39</v>
      </c>
      <c r="D4" s="41" t="s">
        <v>40</v>
      </c>
      <c r="E4" s="41" t="s">
        <v>41</v>
      </c>
      <c r="F4" s="41" t="s">
        <v>42</v>
      </c>
      <c r="G4" s="41" t="s">
        <v>43</v>
      </c>
      <c r="H4" s="41" t="s">
        <v>44</v>
      </c>
      <c r="I4" s="41" t="s">
        <v>45</v>
      </c>
      <c r="J4" s="41" t="s">
        <v>46</v>
      </c>
      <c r="K4" s="41" t="s">
        <v>47</v>
      </c>
      <c r="L4" s="41" t="s">
        <v>48</v>
      </c>
      <c r="M4" s="41" t="s">
        <v>49</v>
      </c>
      <c r="N4" s="41" t="s">
        <v>50</v>
      </c>
      <c r="O4" s="41" t="s">
        <v>51</v>
      </c>
      <c r="P4" s="38" t="s">
        <v>52</v>
      </c>
      <c r="Q4" s="41" t="s">
        <v>38</v>
      </c>
      <c r="R4" s="41" t="s">
        <v>39</v>
      </c>
      <c r="S4" s="41" t="s">
        <v>40</v>
      </c>
      <c r="T4" s="41" t="s">
        <v>41</v>
      </c>
      <c r="U4" s="41" t="s">
        <v>42</v>
      </c>
      <c r="V4" s="41" t="s">
        <v>43</v>
      </c>
      <c r="W4" s="41" t="s">
        <v>44</v>
      </c>
      <c r="X4" s="41" t="s">
        <v>45</v>
      </c>
      <c r="Y4" s="41" t="s">
        <v>46</v>
      </c>
      <c r="Z4" s="41" t="s">
        <v>47</v>
      </c>
      <c r="AA4" s="41" t="s">
        <v>48</v>
      </c>
      <c r="AB4" s="41" t="s">
        <v>49</v>
      </c>
      <c r="AC4" s="41" t="s">
        <v>50</v>
      </c>
      <c r="AD4" s="41" t="s">
        <v>51</v>
      </c>
    </row>
    <row r="5" spans="1:31" ht="18" customHeight="1" x14ac:dyDescent="0.25">
      <c r="A5" s="42" t="s">
        <v>53</v>
      </c>
      <c r="B5" s="42">
        <f>Assumptions!B2</f>
        <v>2500000</v>
      </c>
      <c r="C5" s="42">
        <f t="shared" ref="C5:N5" si="0">B20</f>
        <v>2350000</v>
      </c>
      <c r="D5" s="42">
        <f t="shared" si="0"/>
        <v>2620000</v>
      </c>
      <c r="E5" s="42">
        <f t="shared" si="0"/>
        <v>2890000</v>
      </c>
      <c r="F5" s="42">
        <f t="shared" si="0"/>
        <v>1860000</v>
      </c>
      <c r="G5" s="42">
        <f t="shared" si="0"/>
        <v>2130000</v>
      </c>
      <c r="H5" s="42">
        <f t="shared" si="0"/>
        <v>2400000</v>
      </c>
      <c r="I5" s="42">
        <f t="shared" si="0"/>
        <v>2670000</v>
      </c>
      <c r="J5" s="42">
        <f t="shared" si="0"/>
        <v>1640000</v>
      </c>
      <c r="K5" s="42">
        <f t="shared" si="0"/>
        <v>1910000</v>
      </c>
      <c r="L5" s="42">
        <f t="shared" si="0"/>
        <v>2180000</v>
      </c>
      <c r="M5" s="42">
        <f t="shared" si="0"/>
        <v>2450000</v>
      </c>
      <c r="N5" s="42">
        <f t="shared" si="0"/>
        <v>1420000</v>
      </c>
      <c r="O5" s="42">
        <f>B5</f>
        <v>2500000</v>
      </c>
      <c r="P5" s="43"/>
      <c r="Q5" s="42">
        <f>Assumptions!B2</f>
        <v>2500000</v>
      </c>
      <c r="R5" s="42">
        <f t="shared" ref="R5:AC5" si="1">Q20</f>
        <v>2350000</v>
      </c>
      <c r="S5" s="42">
        <f t="shared" si="1"/>
        <v>2557000</v>
      </c>
      <c r="T5" s="42">
        <f t="shared" si="1"/>
        <v>2764000</v>
      </c>
      <c r="U5" s="42">
        <f t="shared" si="1"/>
        <v>1671000</v>
      </c>
      <c r="V5" s="42">
        <f t="shared" si="1"/>
        <v>1878000</v>
      </c>
      <c r="W5" s="42">
        <f t="shared" si="1"/>
        <v>2085000</v>
      </c>
      <c r="X5" s="42">
        <f t="shared" si="1"/>
        <v>2292000</v>
      </c>
      <c r="Y5" s="42">
        <f t="shared" si="1"/>
        <v>1199000</v>
      </c>
      <c r="Z5" s="42">
        <f t="shared" si="1"/>
        <v>1406000</v>
      </c>
      <c r="AA5" s="42">
        <f t="shared" si="1"/>
        <v>1613000</v>
      </c>
      <c r="AB5" s="42">
        <f t="shared" si="1"/>
        <v>1820000</v>
      </c>
      <c r="AC5" s="42">
        <f t="shared" si="1"/>
        <v>727000</v>
      </c>
      <c r="AD5" s="42">
        <f>Q5</f>
        <v>2500000</v>
      </c>
    </row>
    <row r="6" spans="1:31" ht="18" customHeight="1" x14ac:dyDescent="0.25">
      <c r="A6" s="44" t="s">
        <v>54</v>
      </c>
      <c r="B6" s="44">
        <f>Assumptions!$B$15</f>
        <v>1200000</v>
      </c>
      <c r="C6" s="44">
        <f>Assumptions!$B$15</f>
        <v>1200000</v>
      </c>
      <c r="D6" s="44">
        <f>Assumptions!$B$15</f>
        <v>1200000</v>
      </c>
      <c r="E6" s="44">
        <f>Assumptions!$B$15</f>
        <v>1200000</v>
      </c>
      <c r="F6" s="44">
        <f>Assumptions!$B$15</f>
        <v>1200000</v>
      </c>
      <c r="G6" s="44">
        <f>Assumptions!$B$15</f>
        <v>1200000</v>
      </c>
      <c r="H6" s="44">
        <f>Assumptions!$B$15</f>
        <v>1200000</v>
      </c>
      <c r="I6" s="44">
        <f>Assumptions!$B$15</f>
        <v>1200000</v>
      </c>
      <c r="J6" s="44">
        <f>Assumptions!$B$15</f>
        <v>1200000</v>
      </c>
      <c r="K6" s="44">
        <f>Assumptions!$B$15</f>
        <v>1200000</v>
      </c>
      <c r="L6" s="44">
        <f>Assumptions!$B$15</f>
        <v>1200000</v>
      </c>
      <c r="M6" s="44">
        <f>Assumptions!$B$15</f>
        <v>1200000</v>
      </c>
      <c r="N6" s="44">
        <f>Assumptions!$B$15</f>
        <v>1200000</v>
      </c>
      <c r="O6" s="44">
        <f>SUM(B6:N6)</f>
        <v>15600000</v>
      </c>
      <c r="P6" s="45">
        <f t="shared" ref="P6:P19" si="2">SUM(B6:N6)-O6</f>
        <v>0</v>
      </c>
      <c r="Q6" s="44">
        <f>Assumptions!$B$16</f>
        <v>1020000</v>
      </c>
      <c r="R6" s="44">
        <f>Assumptions!$B$16</f>
        <v>1020000</v>
      </c>
      <c r="S6" s="44">
        <f>Assumptions!$B$16</f>
        <v>1020000</v>
      </c>
      <c r="T6" s="44">
        <f>Assumptions!$B$16</f>
        <v>1020000</v>
      </c>
      <c r="U6" s="44">
        <f>Assumptions!$B$16</f>
        <v>1020000</v>
      </c>
      <c r="V6" s="44">
        <f>Assumptions!$B$16</f>
        <v>1020000</v>
      </c>
      <c r="W6" s="44">
        <f>Assumptions!$B$16</f>
        <v>1020000</v>
      </c>
      <c r="X6" s="44">
        <f>Assumptions!$B$16</f>
        <v>1020000</v>
      </c>
      <c r="Y6" s="44">
        <f>Assumptions!$B$16</f>
        <v>1020000</v>
      </c>
      <c r="Z6" s="44">
        <f>Assumptions!$B$16</f>
        <v>1020000</v>
      </c>
      <c r="AA6" s="44">
        <f>Assumptions!$B$16</f>
        <v>1020000</v>
      </c>
      <c r="AB6" s="44">
        <f>Assumptions!$B$16</f>
        <v>1020000</v>
      </c>
      <c r="AC6" s="44">
        <f>Assumptions!$B$16</f>
        <v>1020000</v>
      </c>
      <c r="AD6" s="44">
        <f>SUM(Q6:AC6)</f>
        <v>13260000</v>
      </c>
    </row>
    <row r="7" spans="1:31" ht="18" customHeight="1" x14ac:dyDescent="0.25">
      <c r="A7" s="44" t="s">
        <v>55</v>
      </c>
      <c r="B7" s="44">
        <v>0</v>
      </c>
      <c r="C7" s="44">
        <f t="shared" ref="C7:N7" si="3">B6</f>
        <v>1200000</v>
      </c>
      <c r="D7" s="44">
        <f t="shared" si="3"/>
        <v>1200000</v>
      </c>
      <c r="E7" s="44">
        <f t="shared" si="3"/>
        <v>1200000</v>
      </c>
      <c r="F7" s="44">
        <f t="shared" si="3"/>
        <v>1200000</v>
      </c>
      <c r="G7" s="44">
        <f t="shared" si="3"/>
        <v>1200000</v>
      </c>
      <c r="H7" s="44">
        <f t="shared" si="3"/>
        <v>1200000</v>
      </c>
      <c r="I7" s="44">
        <f t="shared" si="3"/>
        <v>1200000</v>
      </c>
      <c r="J7" s="44">
        <f t="shared" si="3"/>
        <v>1200000</v>
      </c>
      <c r="K7" s="44">
        <f t="shared" si="3"/>
        <v>1200000</v>
      </c>
      <c r="L7" s="44">
        <f t="shared" si="3"/>
        <v>1200000</v>
      </c>
      <c r="M7" s="44">
        <f t="shared" si="3"/>
        <v>1200000</v>
      </c>
      <c r="N7" s="44">
        <f t="shared" si="3"/>
        <v>1200000</v>
      </c>
      <c r="O7" s="44">
        <f>SUM(B7:N7)</f>
        <v>14400000</v>
      </c>
      <c r="P7" s="45">
        <f t="shared" si="2"/>
        <v>0</v>
      </c>
      <c r="Q7" s="44">
        <v>0</v>
      </c>
      <c r="R7" s="44">
        <f t="shared" ref="R7:AC7" si="4">Q6</f>
        <v>1020000</v>
      </c>
      <c r="S7" s="44">
        <f t="shared" si="4"/>
        <v>1020000</v>
      </c>
      <c r="T7" s="44">
        <f t="shared" si="4"/>
        <v>1020000</v>
      </c>
      <c r="U7" s="44">
        <f t="shared" si="4"/>
        <v>1020000</v>
      </c>
      <c r="V7" s="44">
        <f t="shared" si="4"/>
        <v>1020000</v>
      </c>
      <c r="W7" s="44">
        <f t="shared" si="4"/>
        <v>1020000</v>
      </c>
      <c r="X7" s="44">
        <f t="shared" si="4"/>
        <v>1020000</v>
      </c>
      <c r="Y7" s="44">
        <f t="shared" si="4"/>
        <v>1020000</v>
      </c>
      <c r="Z7" s="44">
        <f t="shared" si="4"/>
        <v>1020000</v>
      </c>
      <c r="AA7" s="44">
        <f t="shared" si="4"/>
        <v>1020000</v>
      </c>
      <c r="AB7" s="44">
        <f t="shared" si="4"/>
        <v>1020000</v>
      </c>
      <c r="AC7" s="44">
        <f t="shared" si="4"/>
        <v>1020000</v>
      </c>
      <c r="AD7" s="44">
        <f>SUM(Q7:AC7)</f>
        <v>12240000</v>
      </c>
    </row>
    <row r="8" spans="1:31" ht="18" customHeight="1" x14ac:dyDescent="0.25">
      <c r="A8" s="44" t="s">
        <v>56</v>
      </c>
      <c r="B8" s="44">
        <f>Assumptions!$B$7</f>
        <v>50000</v>
      </c>
      <c r="C8" s="44">
        <f>Assumptions!$B$7</f>
        <v>50000</v>
      </c>
      <c r="D8" s="44">
        <f>Assumptions!$B$7</f>
        <v>50000</v>
      </c>
      <c r="E8" s="44">
        <f>Assumptions!$B$7</f>
        <v>50000</v>
      </c>
      <c r="F8" s="44">
        <f>Assumptions!$B$7</f>
        <v>50000</v>
      </c>
      <c r="G8" s="44">
        <f>Assumptions!$B$7</f>
        <v>50000</v>
      </c>
      <c r="H8" s="44">
        <f>Assumptions!$B$7</f>
        <v>50000</v>
      </c>
      <c r="I8" s="44">
        <f>Assumptions!$B$7</f>
        <v>50000</v>
      </c>
      <c r="J8" s="44">
        <f>Assumptions!$B$7</f>
        <v>50000</v>
      </c>
      <c r="K8" s="44">
        <f>Assumptions!$B$7</f>
        <v>50000</v>
      </c>
      <c r="L8" s="44">
        <f>Assumptions!$B$7</f>
        <v>50000</v>
      </c>
      <c r="M8" s="44">
        <f>Assumptions!$B$7</f>
        <v>50000</v>
      </c>
      <c r="N8" s="44">
        <f>Assumptions!$B$7</f>
        <v>50000</v>
      </c>
      <c r="O8" s="44">
        <f>SUM(B8:N8)</f>
        <v>650000</v>
      </c>
      <c r="P8" s="45">
        <f t="shared" si="2"/>
        <v>0</v>
      </c>
      <c r="Q8" s="44">
        <f>Assumptions!$B$7</f>
        <v>50000</v>
      </c>
      <c r="R8" s="44">
        <f>Assumptions!$B$7</f>
        <v>50000</v>
      </c>
      <c r="S8" s="44">
        <f>Assumptions!$B$7</f>
        <v>50000</v>
      </c>
      <c r="T8" s="44">
        <f>Assumptions!$B$7</f>
        <v>50000</v>
      </c>
      <c r="U8" s="44">
        <f>Assumptions!$B$7</f>
        <v>50000</v>
      </c>
      <c r="V8" s="44">
        <f>Assumptions!$B$7</f>
        <v>50000</v>
      </c>
      <c r="W8" s="44">
        <f>Assumptions!$B$7</f>
        <v>50000</v>
      </c>
      <c r="X8" s="44">
        <f>Assumptions!$B$7</f>
        <v>50000</v>
      </c>
      <c r="Y8" s="44">
        <f>Assumptions!$B$7</f>
        <v>50000</v>
      </c>
      <c r="Z8" s="44">
        <f>Assumptions!$B$7</f>
        <v>50000</v>
      </c>
      <c r="AA8" s="44">
        <f>Assumptions!$B$7</f>
        <v>50000</v>
      </c>
      <c r="AB8" s="44">
        <f>Assumptions!$B$7</f>
        <v>50000</v>
      </c>
      <c r="AC8" s="44">
        <f>Assumptions!$B$7</f>
        <v>50000</v>
      </c>
      <c r="AD8" s="44">
        <f>SUM(Q8:AC8)</f>
        <v>650000</v>
      </c>
    </row>
    <row r="9" spans="1:31" ht="18" customHeight="1" x14ac:dyDescent="0.25">
      <c r="A9" s="44" t="s">
        <v>57</v>
      </c>
      <c r="B9" s="44">
        <v>0</v>
      </c>
      <c r="C9" s="44">
        <v>0</v>
      </c>
      <c r="D9" s="44">
        <v>0</v>
      </c>
      <c r="E9" s="44">
        <v>0</v>
      </c>
      <c r="F9" s="44">
        <v>0</v>
      </c>
      <c r="G9" s="44">
        <v>0</v>
      </c>
      <c r="H9" s="44">
        <v>0</v>
      </c>
      <c r="I9" s="44">
        <v>0</v>
      </c>
      <c r="J9" s="44">
        <v>0</v>
      </c>
      <c r="K9" s="44">
        <v>0</v>
      </c>
      <c r="L9" s="44">
        <v>0</v>
      </c>
      <c r="M9" s="44">
        <v>0</v>
      </c>
      <c r="N9" s="44">
        <v>0</v>
      </c>
      <c r="O9" s="44">
        <f>SUM(B9:N9)</f>
        <v>0</v>
      </c>
      <c r="P9" s="45">
        <f t="shared" si="2"/>
        <v>0</v>
      </c>
      <c r="Q9" s="44">
        <v>0</v>
      </c>
      <c r="R9" s="44">
        <v>0</v>
      </c>
      <c r="S9" s="44">
        <v>0</v>
      </c>
      <c r="T9" s="44">
        <v>0</v>
      </c>
      <c r="U9" s="44">
        <v>0</v>
      </c>
      <c r="V9" s="44">
        <v>0</v>
      </c>
      <c r="W9" s="44">
        <v>0</v>
      </c>
      <c r="X9" s="44">
        <v>0</v>
      </c>
      <c r="Y9" s="44">
        <v>0</v>
      </c>
      <c r="Z9" s="44">
        <v>0</v>
      </c>
      <c r="AA9" s="44">
        <v>0</v>
      </c>
      <c r="AB9" s="44">
        <v>0</v>
      </c>
      <c r="AC9" s="44">
        <v>0</v>
      </c>
      <c r="AD9" s="44">
        <f>SUM(Q9:AC9)</f>
        <v>0</v>
      </c>
    </row>
    <row r="10" spans="1:31" ht="18" customHeight="1" x14ac:dyDescent="0.25">
      <c r="A10" s="46" t="s">
        <v>58</v>
      </c>
      <c r="B10" s="46">
        <f t="shared" ref="B10:O10" si="5">SUM(B7:B9)</f>
        <v>50000</v>
      </c>
      <c r="C10" s="46">
        <f t="shared" si="5"/>
        <v>1250000</v>
      </c>
      <c r="D10" s="46">
        <f t="shared" si="5"/>
        <v>1250000</v>
      </c>
      <c r="E10" s="46">
        <f t="shared" si="5"/>
        <v>1250000</v>
      </c>
      <c r="F10" s="46">
        <f t="shared" si="5"/>
        <v>1250000</v>
      </c>
      <c r="G10" s="46">
        <f t="shared" si="5"/>
        <v>1250000</v>
      </c>
      <c r="H10" s="46">
        <f t="shared" si="5"/>
        <v>1250000</v>
      </c>
      <c r="I10" s="46">
        <f t="shared" si="5"/>
        <v>1250000</v>
      </c>
      <c r="J10" s="46">
        <f t="shared" si="5"/>
        <v>1250000</v>
      </c>
      <c r="K10" s="46">
        <f t="shared" si="5"/>
        <v>1250000</v>
      </c>
      <c r="L10" s="46">
        <f t="shared" si="5"/>
        <v>1250000</v>
      </c>
      <c r="M10" s="46">
        <f t="shared" si="5"/>
        <v>1250000</v>
      </c>
      <c r="N10" s="46">
        <f t="shared" si="5"/>
        <v>1250000</v>
      </c>
      <c r="O10" s="46">
        <f t="shared" si="5"/>
        <v>15050000</v>
      </c>
      <c r="P10" s="45">
        <f t="shared" si="2"/>
        <v>0</v>
      </c>
      <c r="Q10" s="46">
        <f t="shared" ref="Q10:AD10" si="6">SUM(Q7:Q9)</f>
        <v>50000</v>
      </c>
      <c r="R10" s="46">
        <f t="shared" si="6"/>
        <v>1070000</v>
      </c>
      <c r="S10" s="46">
        <f t="shared" si="6"/>
        <v>1070000</v>
      </c>
      <c r="T10" s="46">
        <f t="shared" si="6"/>
        <v>1070000</v>
      </c>
      <c r="U10" s="46">
        <f t="shared" si="6"/>
        <v>1070000</v>
      </c>
      <c r="V10" s="46">
        <f t="shared" si="6"/>
        <v>1070000</v>
      </c>
      <c r="W10" s="46">
        <f t="shared" si="6"/>
        <v>1070000</v>
      </c>
      <c r="X10" s="46">
        <f t="shared" si="6"/>
        <v>1070000</v>
      </c>
      <c r="Y10" s="46">
        <f t="shared" si="6"/>
        <v>1070000</v>
      </c>
      <c r="Z10" s="46">
        <f t="shared" si="6"/>
        <v>1070000</v>
      </c>
      <c r="AA10" s="46">
        <f t="shared" si="6"/>
        <v>1070000</v>
      </c>
      <c r="AB10" s="46">
        <f t="shared" si="6"/>
        <v>1070000</v>
      </c>
      <c r="AC10" s="46">
        <f t="shared" si="6"/>
        <v>1070000</v>
      </c>
      <c r="AD10" s="46">
        <f t="shared" si="6"/>
        <v>12890000</v>
      </c>
    </row>
    <row r="11" spans="1:31" ht="18" customHeight="1" x14ac:dyDescent="0.25">
      <c r="A11" s="47" t="s">
        <v>59</v>
      </c>
      <c r="B11" s="44"/>
      <c r="C11" s="44"/>
      <c r="D11" s="44"/>
      <c r="E11" s="44"/>
      <c r="F11" s="44"/>
      <c r="G11" s="44"/>
      <c r="H11" s="44"/>
      <c r="I11" s="44"/>
      <c r="J11" s="44"/>
      <c r="K11" s="44"/>
      <c r="L11" s="44"/>
      <c r="M11" s="44"/>
      <c r="N11" s="44"/>
      <c r="O11" s="44"/>
      <c r="P11" s="45">
        <f t="shared" si="2"/>
        <v>0</v>
      </c>
      <c r="Q11" s="44"/>
      <c r="R11" s="44"/>
      <c r="S11" s="44"/>
      <c r="T11" s="44"/>
      <c r="U11" s="44"/>
      <c r="V11" s="44"/>
      <c r="W11" s="44"/>
      <c r="X11" s="44"/>
      <c r="Y11" s="44"/>
      <c r="Z11" s="44"/>
      <c r="AA11" s="44"/>
      <c r="AB11" s="44"/>
      <c r="AC11" s="44"/>
      <c r="AD11" s="44"/>
    </row>
    <row r="12" spans="1:31" ht="18" customHeight="1" x14ac:dyDescent="0.25">
      <c r="A12" s="48" t="s">
        <v>60</v>
      </c>
      <c r="B12" s="44">
        <v>0</v>
      </c>
      <c r="C12" s="44">
        <f>B6*(1-Assumptions!$B$5)</f>
        <v>780000</v>
      </c>
      <c r="D12" s="44">
        <f>C6*(1-Assumptions!$B$5)</f>
        <v>780000</v>
      </c>
      <c r="E12" s="44">
        <f>D6*(1-Assumptions!$B$5)</f>
        <v>780000</v>
      </c>
      <c r="F12" s="44">
        <f>E6*(1-Assumptions!$B$5)</f>
        <v>780000</v>
      </c>
      <c r="G12" s="44">
        <f>F6*(1-Assumptions!$B$5)</f>
        <v>780000</v>
      </c>
      <c r="H12" s="44">
        <f>G6*(1-Assumptions!$B$5)</f>
        <v>780000</v>
      </c>
      <c r="I12" s="44">
        <f>H6*(1-Assumptions!$B$5)</f>
        <v>780000</v>
      </c>
      <c r="J12" s="44">
        <f>I6*(1-Assumptions!$B$5)</f>
        <v>780000</v>
      </c>
      <c r="K12" s="44">
        <f>J6*(1-Assumptions!$B$5)</f>
        <v>780000</v>
      </c>
      <c r="L12" s="44">
        <f>K6*(1-Assumptions!$B$5)</f>
        <v>780000</v>
      </c>
      <c r="M12" s="44">
        <f>L6*(1-Assumptions!$B$5)</f>
        <v>780000</v>
      </c>
      <c r="N12" s="44">
        <f>M6*(1-Assumptions!$B$5)</f>
        <v>780000</v>
      </c>
      <c r="O12" s="44">
        <f t="shared" ref="O12:O17" si="7">SUM(B12:N12)</f>
        <v>9360000</v>
      </c>
      <c r="P12" s="45">
        <f t="shared" si="2"/>
        <v>0</v>
      </c>
      <c r="Q12" s="44">
        <v>0</v>
      </c>
      <c r="R12" s="44">
        <f>Q6*(1-Assumptions!$B$5)</f>
        <v>663000</v>
      </c>
      <c r="S12" s="44">
        <f>R6*(1-Assumptions!$B$5)</f>
        <v>663000</v>
      </c>
      <c r="T12" s="44">
        <f>S6*(1-Assumptions!$B$5)</f>
        <v>663000</v>
      </c>
      <c r="U12" s="44">
        <f>T6*(1-Assumptions!$B$5)</f>
        <v>663000</v>
      </c>
      <c r="V12" s="44">
        <f>U6*(1-Assumptions!$B$5)</f>
        <v>663000</v>
      </c>
      <c r="W12" s="44">
        <f>V6*(1-Assumptions!$B$5)</f>
        <v>663000</v>
      </c>
      <c r="X12" s="44">
        <f>W6*(1-Assumptions!$B$5)</f>
        <v>663000</v>
      </c>
      <c r="Y12" s="44">
        <f>X6*(1-Assumptions!$B$5)</f>
        <v>663000</v>
      </c>
      <c r="Z12" s="44">
        <f>Y6*(1-Assumptions!$B$5)</f>
        <v>663000</v>
      </c>
      <c r="AA12" s="44">
        <f>Z6*(1-Assumptions!$B$5)</f>
        <v>663000</v>
      </c>
      <c r="AB12" s="44">
        <f>AA6*(1-Assumptions!$B$5)</f>
        <v>663000</v>
      </c>
      <c r="AC12" s="44">
        <f>AB6*(1-Assumptions!$B$5)</f>
        <v>663000</v>
      </c>
      <c r="AD12" s="44">
        <f t="shared" ref="AD12:AD17" si="8">SUM(Q12:AC12)</f>
        <v>7956000</v>
      </c>
    </row>
    <row r="13" spans="1:31" ht="18" customHeight="1" x14ac:dyDescent="0.25">
      <c r="A13" s="48" t="s">
        <v>61</v>
      </c>
      <c r="B13" s="44">
        <f>Assumptions!$B$8</f>
        <v>200000</v>
      </c>
      <c r="C13" s="44">
        <f>Assumptions!$B$8</f>
        <v>200000</v>
      </c>
      <c r="D13" s="44">
        <f>Assumptions!$B$8</f>
        <v>200000</v>
      </c>
      <c r="E13" s="44">
        <f>Assumptions!$B$8</f>
        <v>200000</v>
      </c>
      <c r="F13" s="44">
        <f>Assumptions!$B$8</f>
        <v>200000</v>
      </c>
      <c r="G13" s="44">
        <f>Assumptions!$B$8</f>
        <v>200000</v>
      </c>
      <c r="H13" s="44">
        <f>Assumptions!$B$8</f>
        <v>200000</v>
      </c>
      <c r="I13" s="44">
        <f>Assumptions!$B$8</f>
        <v>200000</v>
      </c>
      <c r="J13" s="44">
        <f>Assumptions!$B$8</f>
        <v>200000</v>
      </c>
      <c r="K13" s="44">
        <f>Assumptions!$B$8</f>
        <v>200000</v>
      </c>
      <c r="L13" s="44">
        <f>Assumptions!$B$8</f>
        <v>200000</v>
      </c>
      <c r="M13" s="44">
        <f>Assumptions!$B$8</f>
        <v>200000</v>
      </c>
      <c r="N13" s="44">
        <f>Assumptions!$B$8</f>
        <v>200000</v>
      </c>
      <c r="O13" s="44">
        <f t="shared" si="7"/>
        <v>2600000</v>
      </c>
      <c r="P13" s="45">
        <f t="shared" si="2"/>
        <v>0</v>
      </c>
      <c r="Q13" s="44">
        <f>Assumptions!$B$8</f>
        <v>200000</v>
      </c>
      <c r="R13" s="44">
        <f>Assumptions!$B$8</f>
        <v>200000</v>
      </c>
      <c r="S13" s="44">
        <f>Assumptions!$B$8</f>
        <v>200000</v>
      </c>
      <c r="T13" s="44">
        <f>Assumptions!$B$8</f>
        <v>200000</v>
      </c>
      <c r="U13" s="44">
        <f>Assumptions!$B$8</f>
        <v>200000</v>
      </c>
      <c r="V13" s="44">
        <f>Assumptions!$B$8</f>
        <v>200000</v>
      </c>
      <c r="W13" s="44">
        <f>Assumptions!$B$8</f>
        <v>200000</v>
      </c>
      <c r="X13" s="44">
        <f>Assumptions!$B$8</f>
        <v>200000</v>
      </c>
      <c r="Y13" s="44">
        <f>Assumptions!$B$8</f>
        <v>200000</v>
      </c>
      <c r="Z13" s="44">
        <f>Assumptions!$B$8</f>
        <v>200000</v>
      </c>
      <c r="AA13" s="44">
        <f>Assumptions!$B$8</f>
        <v>200000</v>
      </c>
      <c r="AB13" s="44">
        <f>Assumptions!$B$8</f>
        <v>200000</v>
      </c>
      <c r="AC13" s="44">
        <f>Assumptions!$B$8</f>
        <v>200000</v>
      </c>
      <c r="AD13" s="44">
        <f t="shared" si="8"/>
        <v>2600000</v>
      </c>
    </row>
    <row r="14" spans="1:31" ht="18" customHeight="1" x14ac:dyDescent="0.25">
      <c r="A14" s="48" t="s">
        <v>62</v>
      </c>
      <c r="B14" s="44">
        <v>0</v>
      </c>
      <c r="C14" s="44">
        <v>0</v>
      </c>
      <c r="D14" s="44">
        <v>0</v>
      </c>
      <c r="E14" s="44">
        <f>Assumptions!$B$9</f>
        <v>1000000</v>
      </c>
      <c r="F14" s="44">
        <v>0</v>
      </c>
      <c r="G14" s="44">
        <v>0</v>
      </c>
      <c r="H14" s="44">
        <v>0</v>
      </c>
      <c r="I14" s="44">
        <f>Assumptions!$B$9</f>
        <v>1000000</v>
      </c>
      <c r="J14" s="44">
        <v>0</v>
      </c>
      <c r="K14" s="44">
        <v>0</v>
      </c>
      <c r="L14" s="44">
        <v>0</v>
      </c>
      <c r="M14" s="44">
        <f>Assumptions!$B$9</f>
        <v>1000000</v>
      </c>
      <c r="N14" s="44">
        <v>0</v>
      </c>
      <c r="O14" s="44">
        <f t="shared" si="7"/>
        <v>3000000</v>
      </c>
      <c r="P14" s="45">
        <f t="shared" si="2"/>
        <v>0</v>
      </c>
      <c r="Q14" s="44">
        <v>0</v>
      </c>
      <c r="R14" s="44">
        <v>0</v>
      </c>
      <c r="S14" s="44">
        <v>0</v>
      </c>
      <c r="T14" s="44">
        <f>Assumptions!$B$9</f>
        <v>1000000</v>
      </c>
      <c r="U14" s="44">
        <v>0</v>
      </c>
      <c r="V14" s="44">
        <v>0</v>
      </c>
      <c r="W14" s="44">
        <v>0</v>
      </c>
      <c r="X14" s="44">
        <f>Assumptions!$B$9</f>
        <v>1000000</v>
      </c>
      <c r="Y14" s="44">
        <v>0</v>
      </c>
      <c r="Z14" s="44">
        <v>0</v>
      </c>
      <c r="AA14" s="44">
        <v>0</v>
      </c>
      <c r="AB14" s="44">
        <f>Assumptions!$B$9</f>
        <v>1000000</v>
      </c>
      <c r="AC14" s="44">
        <v>0</v>
      </c>
      <c r="AD14" s="44">
        <f t="shared" si="8"/>
        <v>3000000</v>
      </c>
    </row>
    <row r="15" spans="1:31" ht="18" customHeight="1" x14ac:dyDescent="0.25">
      <c r="A15" s="48" t="s">
        <v>63</v>
      </c>
      <c r="B15" s="44">
        <v>0</v>
      </c>
      <c r="C15" s="44">
        <v>0</v>
      </c>
      <c r="D15" s="44">
        <v>0</v>
      </c>
      <c r="E15" s="44">
        <f>Assumptions!$B$10*Assumptions!$B$11/12</f>
        <v>50000</v>
      </c>
      <c r="F15" s="44">
        <v>0</v>
      </c>
      <c r="G15" s="44">
        <v>0</v>
      </c>
      <c r="H15" s="44">
        <v>0</v>
      </c>
      <c r="I15" s="44">
        <f>Assumptions!$B$10*Assumptions!$B$11/12</f>
        <v>50000</v>
      </c>
      <c r="J15" s="44">
        <v>0</v>
      </c>
      <c r="K15" s="44">
        <v>0</v>
      </c>
      <c r="L15" s="44">
        <v>0</v>
      </c>
      <c r="M15" s="44">
        <f>Assumptions!$B$10*Assumptions!$B$11/12</f>
        <v>50000</v>
      </c>
      <c r="N15" s="44">
        <v>0</v>
      </c>
      <c r="O15" s="44">
        <f t="shared" si="7"/>
        <v>150000</v>
      </c>
      <c r="P15" s="45">
        <f t="shared" si="2"/>
        <v>0</v>
      </c>
      <c r="Q15" s="44">
        <v>0</v>
      </c>
      <c r="R15" s="44">
        <v>0</v>
      </c>
      <c r="S15" s="44">
        <v>0</v>
      </c>
      <c r="T15" s="44">
        <f>Assumptions!$B$10*Assumptions!$B$11/12</f>
        <v>50000</v>
      </c>
      <c r="U15" s="44">
        <v>0</v>
      </c>
      <c r="V15" s="44">
        <v>0</v>
      </c>
      <c r="W15" s="44">
        <v>0</v>
      </c>
      <c r="X15" s="44">
        <f>Assumptions!$B$10*Assumptions!$B$11/12</f>
        <v>50000</v>
      </c>
      <c r="Y15" s="44">
        <v>0</v>
      </c>
      <c r="Z15" s="44">
        <v>0</v>
      </c>
      <c r="AA15" s="44">
        <v>0</v>
      </c>
      <c r="AB15" s="44">
        <f>Assumptions!$B$10*Assumptions!$B$11/12</f>
        <v>50000</v>
      </c>
      <c r="AC15" s="44">
        <v>0</v>
      </c>
      <c r="AD15" s="44">
        <f t="shared" si="8"/>
        <v>150000</v>
      </c>
    </row>
    <row r="16" spans="1:31" ht="18" customHeight="1" x14ac:dyDescent="0.25">
      <c r="A16" s="48" t="s">
        <v>64</v>
      </c>
      <c r="B16" s="44">
        <v>0</v>
      </c>
      <c r="C16" s="44">
        <v>0</v>
      </c>
      <c r="D16" s="44">
        <v>0</v>
      </c>
      <c r="E16" s="44">
        <f>Assumptions!$B$12-(Assumptions!$B$10*Assumptions!$B$11/12)</f>
        <v>250000</v>
      </c>
      <c r="F16" s="44">
        <v>0</v>
      </c>
      <c r="G16" s="44">
        <v>0</v>
      </c>
      <c r="H16" s="44">
        <v>0</v>
      </c>
      <c r="I16" s="44">
        <f>Assumptions!$B$12-(Assumptions!$B$10*Assumptions!$B$11/12)</f>
        <v>250000</v>
      </c>
      <c r="J16" s="44">
        <v>0</v>
      </c>
      <c r="K16" s="44">
        <v>0</v>
      </c>
      <c r="L16" s="44">
        <v>0</v>
      </c>
      <c r="M16" s="44">
        <f>Assumptions!$B$12-(Assumptions!$B$10*Assumptions!$B$11/12)</f>
        <v>250000</v>
      </c>
      <c r="N16" s="44">
        <v>0</v>
      </c>
      <c r="O16" s="44">
        <f t="shared" si="7"/>
        <v>750000</v>
      </c>
      <c r="P16" s="45">
        <f t="shared" si="2"/>
        <v>0</v>
      </c>
      <c r="Q16" s="44">
        <v>0</v>
      </c>
      <c r="R16" s="44">
        <v>0</v>
      </c>
      <c r="S16" s="44">
        <v>0</v>
      </c>
      <c r="T16" s="44">
        <f>Assumptions!$B$12-(Assumptions!$B$10*Assumptions!$B$11/12)</f>
        <v>250000</v>
      </c>
      <c r="U16" s="44">
        <v>0</v>
      </c>
      <c r="V16" s="44">
        <v>0</v>
      </c>
      <c r="W16" s="44">
        <v>0</v>
      </c>
      <c r="X16" s="44">
        <f>Assumptions!$B$12-(Assumptions!$B$10*Assumptions!$B$11/12)</f>
        <v>250000</v>
      </c>
      <c r="Y16" s="44">
        <v>0</v>
      </c>
      <c r="Z16" s="44">
        <v>0</v>
      </c>
      <c r="AA16" s="44">
        <v>0</v>
      </c>
      <c r="AB16" s="44">
        <f>Assumptions!$B$12-(Assumptions!$B$10*Assumptions!$B$11/12)</f>
        <v>250000</v>
      </c>
      <c r="AC16" s="44">
        <v>0</v>
      </c>
      <c r="AD16" s="44">
        <f t="shared" si="8"/>
        <v>750000</v>
      </c>
    </row>
    <row r="17" spans="1:30" ht="18" customHeight="1" x14ac:dyDescent="0.25">
      <c r="A17" s="48"/>
      <c r="B17" s="44"/>
      <c r="C17" s="44"/>
      <c r="D17" s="44"/>
      <c r="E17" s="44"/>
      <c r="F17" s="44"/>
      <c r="G17" s="44"/>
      <c r="H17" s="44"/>
      <c r="I17" s="44"/>
      <c r="J17" s="44"/>
      <c r="K17" s="44"/>
      <c r="L17" s="44"/>
      <c r="M17" s="44"/>
      <c r="N17" s="44"/>
      <c r="O17" s="44">
        <f t="shared" si="7"/>
        <v>0</v>
      </c>
      <c r="P17" s="45">
        <f t="shared" si="2"/>
        <v>0</v>
      </c>
      <c r="Q17" s="44"/>
      <c r="R17" s="44"/>
      <c r="S17" s="44"/>
      <c r="T17" s="44"/>
      <c r="U17" s="44"/>
      <c r="V17" s="44"/>
      <c r="W17" s="44"/>
      <c r="X17" s="44"/>
      <c r="Y17" s="44"/>
      <c r="Z17" s="44"/>
      <c r="AA17" s="44"/>
      <c r="AB17" s="44"/>
      <c r="AC17" s="44"/>
      <c r="AD17" s="44">
        <f t="shared" si="8"/>
        <v>0</v>
      </c>
    </row>
    <row r="18" spans="1:30" ht="18" customHeight="1" x14ac:dyDescent="0.25">
      <c r="A18" s="49" t="s">
        <v>65</v>
      </c>
      <c r="B18" s="46">
        <f t="shared" ref="B18:O18" si="9">SUM(B12:B16)</f>
        <v>200000</v>
      </c>
      <c r="C18" s="46">
        <f t="shared" si="9"/>
        <v>980000</v>
      </c>
      <c r="D18" s="46">
        <f t="shared" si="9"/>
        <v>980000</v>
      </c>
      <c r="E18" s="46">
        <f t="shared" si="9"/>
        <v>2280000</v>
      </c>
      <c r="F18" s="46">
        <f t="shared" si="9"/>
        <v>980000</v>
      </c>
      <c r="G18" s="46">
        <f t="shared" si="9"/>
        <v>980000</v>
      </c>
      <c r="H18" s="46">
        <f t="shared" si="9"/>
        <v>980000</v>
      </c>
      <c r="I18" s="46">
        <f t="shared" si="9"/>
        <v>2280000</v>
      </c>
      <c r="J18" s="46">
        <f t="shared" si="9"/>
        <v>980000</v>
      </c>
      <c r="K18" s="46">
        <f t="shared" si="9"/>
        <v>980000</v>
      </c>
      <c r="L18" s="46">
        <f t="shared" si="9"/>
        <v>980000</v>
      </c>
      <c r="M18" s="46">
        <f t="shared" si="9"/>
        <v>2280000</v>
      </c>
      <c r="N18" s="46">
        <f t="shared" si="9"/>
        <v>980000</v>
      </c>
      <c r="O18" s="46">
        <f t="shared" si="9"/>
        <v>15860000</v>
      </c>
      <c r="P18" s="45">
        <f t="shared" si="2"/>
        <v>0</v>
      </c>
      <c r="Q18" s="46">
        <f t="shared" ref="Q18:AD18" si="10">SUM(Q12:Q16)</f>
        <v>200000</v>
      </c>
      <c r="R18" s="46">
        <f t="shared" si="10"/>
        <v>863000</v>
      </c>
      <c r="S18" s="46">
        <f t="shared" si="10"/>
        <v>863000</v>
      </c>
      <c r="T18" s="46">
        <f t="shared" si="10"/>
        <v>2163000</v>
      </c>
      <c r="U18" s="46">
        <f t="shared" si="10"/>
        <v>863000</v>
      </c>
      <c r="V18" s="46">
        <f t="shared" si="10"/>
        <v>863000</v>
      </c>
      <c r="W18" s="46">
        <f t="shared" si="10"/>
        <v>863000</v>
      </c>
      <c r="X18" s="46">
        <f t="shared" si="10"/>
        <v>2163000</v>
      </c>
      <c r="Y18" s="46">
        <f t="shared" si="10"/>
        <v>863000</v>
      </c>
      <c r="Z18" s="46">
        <f t="shared" si="10"/>
        <v>863000</v>
      </c>
      <c r="AA18" s="46">
        <f t="shared" si="10"/>
        <v>863000</v>
      </c>
      <c r="AB18" s="46">
        <f t="shared" si="10"/>
        <v>2163000</v>
      </c>
      <c r="AC18" s="46">
        <f t="shared" si="10"/>
        <v>863000</v>
      </c>
      <c r="AD18" s="46">
        <f t="shared" si="10"/>
        <v>14456000</v>
      </c>
    </row>
    <row r="19" spans="1:30" ht="18" customHeight="1" x14ac:dyDescent="0.25">
      <c r="A19" s="50" t="s">
        <v>66</v>
      </c>
      <c r="B19" s="50">
        <f t="shared" ref="B19:O19" si="11">B10-B18</f>
        <v>-150000</v>
      </c>
      <c r="C19" s="50">
        <f t="shared" si="11"/>
        <v>270000</v>
      </c>
      <c r="D19" s="50">
        <f t="shared" si="11"/>
        <v>270000</v>
      </c>
      <c r="E19" s="50">
        <f t="shared" si="11"/>
        <v>-1030000</v>
      </c>
      <c r="F19" s="50">
        <f t="shared" si="11"/>
        <v>270000</v>
      </c>
      <c r="G19" s="50">
        <f t="shared" si="11"/>
        <v>270000</v>
      </c>
      <c r="H19" s="50">
        <f t="shared" si="11"/>
        <v>270000</v>
      </c>
      <c r="I19" s="50">
        <f t="shared" si="11"/>
        <v>-1030000</v>
      </c>
      <c r="J19" s="50">
        <f t="shared" si="11"/>
        <v>270000</v>
      </c>
      <c r="K19" s="50">
        <f t="shared" si="11"/>
        <v>270000</v>
      </c>
      <c r="L19" s="50">
        <f t="shared" si="11"/>
        <v>270000</v>
      </c>
      <c r="M19" s="50">
        <f t="shared" si="11"/>
        <v>-1030000</v>
      </c>
      <c r="N19" s="50">
        <f t="shared" si="11"/>
        <v>270000</v>
      </c>
      <c r="O19" s="50">
        <f t="shared" si="11"/>
        <v>-810000</v>
      </c>
      <c r="P19" s="45">
        <f t="shared" si="2"/>
        <v>0</v>
      </c>
      <c r="Q19" s="50">
        <f t="shared" ref="Q19:AD19" si="12">Q10-Q18</f>
        <v>-150000</v>
      </c>
      <c r="R19" s="50">
        <f t="shared" si="12"/>
        <v>207000</v>
      </c>
      <c r="S19" s="50">
        <f t="shared" si="12"/>
        <v>207000</v>
      </c>
      <c r="T19" s="50">
        <f t="shared" si="12"/>
        <v>-1093000</v>
      </c>
      <c r="U19" s="50">
        <f t="shared" si="12"/>
        <v>207000</v>
      </c>
      <c r="V19" s="50">
        <f t="shared" si="12"/>
        <v>207000</v>
      </c>
      <c r="W19" s="50">
        <f t="shared" si="12"/>
        <v>207000</v>
      </c>
      <c r="X19" s="50">
        <f t="shared" si="12"/>
        <v>-1093000</v>
      </c>
      <c r="Y19" s="50">
        <f t="shared" si="12"/>
        <v>207000</v>
      </c>
      <c r="Z19" s="50">
        <f t="shared" si="12"/>
        <v>207000</v>
      </c>
      <c r="AA19" s="50">
        <f t="shared" si="12"/>
        <v>207000</v>
      </c>
      <c r="AB19" s="50">
        <f t="shared" si="12"/>
        <v>-1093000</v>
      </c>
      <c r="AC19" s="50">
        <f t="shared" si="12"/>
        <v>207000</v>
      </c>
      <c r="AD19" s="50">
        <f t="shared" si="12"/>
        <v>-1566000</v>
      </c>
    </row>
    <row r="20" spans="1:30" ht="18" customHeight="1" x14ac:dyDescent="0.25">
      <c r="A20" s="51" t="s">
        <v>67</v>
      </c>
      <c r="B20" s="51">
        <f t="shared" ref="B20:O20" si="13">B5+B19</f>
        <v>2350000</v>
      </c>
      <c r="C20" s="51">
        <f t="shared" si="13"/>
        <v>2620000</v>
      </c>
      <c r="D20" s="51">
        <f t="shared" si="13"/>
        <v>2890000</v>
      </c>
      <c r="E20" s="51">
        <f t="shared" si="13"/>
        <v>1860000</v>
      </c>
      <c r="F20" s="51">
        <f t="shared" si="13"/>
        <v>2130000</v>
      </c>
      <c r="G20" s="51">
        <f t="shared" si="13"/>
        <v>2400000</v>
      </c>
      <c r="H20" s="51">
        <f t="shared" si="13"/>
        <v>2670000</v>
      </c>
      <c r="I20" s="51">
        <f t="shared" si="13"/>
        <v>1640000</v>
      </c>
      <c r="J20" s="51">
        <f t="shared" si="13"/>
        <v>1910000</v>
      </c>
      <c r="K20" s="51">
        <f t="shared" si="13"/>
        <v>2180000</v>
      </c>
      <c r="L20" s="51">
        <f t="shared" si="13"/>
        <v>2450000</v>
      </c>
      <c r="M20" s="51">
        <f t="shared" si="13"/>
        <v>1420000</v>
      </c>
      <c r="N20" s="51">
        <f t="shared" si="13"/>
        <v>1690000</v>
      </c>
      <c r="O20" s="51">
        <f t="shared" si="13"/>
        <v>1690000</v>
      </c>
      <c r="P20" s="38"/>
      <c r="Q20" s="51">
        <f t="shared" ref="Q20:AD20" si="14">Q5+Q19</f>
        <v>2350000</v>
      </c>
      <c r="R20" s="51">
        <f t="shared" si="14"/>
        <v>2557000</v>
      </c>
      <c r="S20" s="51">
        <f t="shared" si="14"/>
        <v>2764000</v>
      </c>
      <c r="T20" s="51">
        <f t="shared" si="14"/>
        <v>1671000</v>
      </c>
      <c r="U20" s="51">
        <f t="shared" si="14"/>
        <v>1878000</v>
      </c>
      <c r="V20" s="51">
        <f t="shared" si="14"/>
        <v>2085000</v>
      </c>
      <c r="W20" s="51">
        <f t="shared" si="14"/>
        <v>2292000</v>
      </c>
      <c r="X20" s="51">
        <f t="shared" si="14"/>
        <v>1199000</v>
      </c>
      <c r="Y20" s="51">
        <f t="shared" si="14"/>
        <v>1406000</v>
      </c>
      <c r="Z20" s="51">
        <f t="shared" si="14"/>
        <v>1613000</v>
      </c>
      <c r="AA20" s="51">
        <f t="shared" si="14"/>
        <v>1820000</v>
      </c>
      <c r="AB20" s="51">
        <f t="shared" si="14"/>
        <v>727000</v>
      </c>
      <c r="AC20" s="51">
        <f t="shared" si="14"/>
        <v>934000</v>
      </c>
      <c r="AD20" s="51">
        <f t="shared" si="14"/>
        <v>934000</v>
      </c>
    </row>
    <row r="21" spans="1:30" ht="18" customHeight="1" x14ac:dyDescent="0.25">
      <c r="A21" s="52" t="s">
        <v>68</v>
      </c>
      <c r="B21" s="52">
        <f>IF(B20&lt;Assumptions!$B$13,Assumptions!$B$13-B20,0)</f>
        <v>0</v>
      </c>
      <c r="C21" s="52">
        <f>IF(C20&lt;Assumptions!$B$13,Assumptions!$B$13-C20,0)</f>
        <v>0</v>
      </c>
      <c r="D21" s="52">
        <f>IF(D20&lt;Assumptions!$B$13,Assumptions!$B$13-D20,0)</f>
        <v>0</v>
      </c>
      <c r="E21" s="52">
        <f>IF(E20&lt;Assumptions!$B$13,Assumptions!$B$13-E20,0)</f>
        <v>0</v>
      </c>
      <c r="F21" s="52">
        <f>IF(F20&lt;Assumptions!$B$13,Assumptions!$B$13-F20,0)</f>
        <v>0</v>
      </c>
      <c r="G21" s="52">
        <f>IF(G20&lt;Assumptions!$B$13,Assumptions!$B$13-G20,0)</f>
        <v>0</v>
      </c>
      <c r="H21" s="52">
        <f>IF(H20&lt;Assumptions!$B$13,Assumptions!$B$13-H20,0)</f>
        <v>0</v>
      </c>
      <c r="I21" s="52">
        <f>IF(I20&lt;Assumptions!$B$13,Assumptions!$B$13-I20,0)</f>
        <v>0</v>
      </c>
      <c r="J21" s="52">
        <f>IF(J20&lt;Assumptions!$B$13,Assumptions!$B$13-J20,0)</f>
        <v>0</v>
      </c>
      <c r="K21" s="52">
        <f>IF(K20&lt;Assumptions!$B$13,Assumptions!$B$13-K20,0)</f>
        <v>0</v>
      </c>
      <c r="L21" s="52">
        <f>IF(L20&lt;Assumptions!$B$13,Assumptions!$B$13-L20,0)</f>
        <v>0</v>
      </c>
      <c r="M21" s="52">
        <f>IF(M20&lt;Assumptions!$B$13,Assumptions!$B$13-M20,0)</f>
        <v>80000</v>
      </c>
      <c r="N21" s="52">
        <f>IF(N20&lt;Assumptions!$B$13,Assumptions!$B$13-N20,0)</f>
        <v>0</v>
      </c>
      <c r="O21" s="52">
        <f>IF(O20&lt;Assumptions!$B$13,Assumptions!$B$13-O20,0)</f>
        <v>0</v>
      </c>
      <c r="P21" s="38"/>
      <c r="Q21" s="52">
        <f>IF(Q20&lt;Assumptions!$B$13,Assumptions!$B$13-Q20,0)</f>
        <v>0</v>
      </c>
      <c r="R21" s="52">
        <f>IF(R20&lt;Assumptions!$B$13,Assumptions!$B$13-R20,0)</f>
        <v>0</v>
      </c>
      <c r="S21" s="52">
        <f>IF(S20&lt;Assumptions!$B$13,Assumptions!$B$13-S20,0)</f>
        <v>0</v>
      </c>
      <c r="T21" s="52">
        <f>IF(T20&lt;Assumptions!$B$13,Assumptions!$B$13-T20,0)</f>
        <v>0</v>
      </c>
      <c r="U21" s="52">
        <f>IF(U20&lt;Assumptions!$B$13,Assumptions!$B$13-U20,0)</f>
        <v>0</v>
      </c>
      <c r="V21" s="52">
        <f>IF(V20&lt;Assumptions!$B$13,Assumptions!$B$13-V20,0)</f>
        <v>0</v>
      </c>
      <c r="W21" s="52">
        <f>IF(W20&lt;Assumptions!$B$13,Assumptions!$B$13-W20,0)</f>
        <v>0</v>
      </c>
      <c r="X21" s="52">
        <f>IF(X20&lt;Assumptions!$B$13,Assumptions!$B$13-X20,0)</f>
        <v>301000</v>
      </c>
      <c r="Y21" s="52">
        <f>IF(Y20&lt;Assumptions!$B$13,Assumptions!$B$13-Y20,0)</f>
        <v>94000</v>
      </c>
      <c r="Z21" s="52">
        <f>IF(Z20&lt;Assumptions!$B$13,Assumptions!$B$13-Z20,0)</f>
        <v>0</v>
      </c>
      <c r="AA21" s="52">
        <f>IF(AA20&lt;Assumptions!$B$13,Assumptions!$B$13-AA20,0)</f>
        <v>0</v>
      </c>
      <c r="AB21" s="52">
        <f>IF(AB20&lt;Assumptions!$B$13,Assumptions!$B$13-AB20,0)</f>
        <v>773000</v>
      </c>
      <c r="AC21" s="52">
        <f>IF(AC20&lt;Assumptions!$B$13,Assumptions!$B$13-AC20,0)</f>
        <v>566000</v>
      </c>
      <c r="AD21" s="52">
        <f>IF(AD20&lt;Assumptions!$B$13,Assumptions!$B$13-AD20,0)</f>
        <v>566000</v>
      </c>
    </row>
    <row r="22" spans="1:30" x14ac:dyDescent="0.25">
      <c r="A22" s="32"/>
      <c r="B22" s="32"/>
      <c r="C22" s="32"/>
      <c r="D22" s="32"/>
      <c r="E22" s="32"/>
      <c r="F22" s="32"/>
      <c r="G22" s="32"/>
      <c r="H22" s="32"/>
      <c r="I22" s="32"/>
      <c r="J22" s="32"/>
      <c r="K22" s="32"/>
      <c r="L22" s="32"/>
      <c r="M22" s="32"/>
      <c r="N22" s="32"/>
      <c r="O22" s="32"/>
      <c r="P22" s="32"/>
      <c r="Q22" s="32"/>
    </row>
    <row r="23" spans="1:30" x14ac:dyDescent="0.25">
      <c r="A23" s="32"/>
      <c r="B23" s="32"/>
      <c r="C23" s="32"/>
      <c r="D23" s="32"/>
      <c r="E23" s="32"/>
      <c r="F23" s="32"/>
      <c r="G23" s="32"/>
      <c r="H23" s="32"/>
      <c r="I23" s="32"/>
      <c r="J23" s="32"/>
      <c r="K23" s="32"/>
      <c r="L23" s="32"/>
      <c r="M23" s="32"/>
      <c r="N23" s="32"/>
      <c r="O23" s="32"/>
      <c r="P23" s="32"/>
      <c r="Q23" s="32"/>
    </row>
    <row r="24" spans="1:30" x14ac:dyDescent="0.25">
      <c r="A24" s="32"/>
      <c r="B24" s="32"/>
      <c r="C24" s="32"/>
      <c r="D24" s="32"/>
      <c r="E24" s="32"/>
      <c r="F24" s="32"/>
      <c r="G24" s="32"/>
      <c r="H24" s="32"/>
      <c r="I24" s="32"/>
      <c r="J24" s="32"/>
      <c r="K24" s="32"/>
      <c r="L24" s="32"/>
      <c r="M24" s="32"/>
      <c r="N24" s="32"/>
      <c r="O24" s="32"/>
      <c r="P24" s="32"/>
      <c r="Q24" s="32"/>
    </row>
  </sheetData>
  <sheetProtection algorithmName="SHA-512" hashValue="VkGg/q0FIcJrgrp7UNy17s6bw+RFfb1k/Pkkx7f24/I5QEDx5f3JF2lamBWGr++Nsi0zXcYjxeDjmbrETBYqKQ==" saltValue="GrMk61ZGVSs5ybj1Xgyc9w==" spinCount="100000" sheet="1" objects="1" scenarios="1"/>
  <mergeCells count="2">
    <mergeCell ref="Q3:AE3"/>
    <mergeCell ref="A3:O3"/>
  </mergeCells>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002060"/>
  </sheetPr>
  <dimension ref="A1:D28"/>
  <sheetViews>
    <sheetView topLeftCell="A13" workbookViewId="0">
      <selection activeCell="A8" sqref="A8:D8"/>
    </sheetView>
  </sheetViews>
  <sheetFormatPr defaultRowHeight="15" x14ac:dyDescent="0.25"/>
  <cols>
    <col min="1" max="1" width="34.5703125" style="13" customWidth="1"/>
    <col min="2" max="2" width="20.5703125" style="13" customWidth="1"/>
    <col min="3" max="3" width="19.7109375" style="13" customWidth="1"/>
    <col min="4" max="4" width="36.5703125" style="13" customWidth="1"/>
    <col min="5" max="5" width="9.140625" style="13" customWidth="1"/>
    <col min="6" max="16384" width="9.140625" style="13"/>
  </cols>
  <sheetData>
    <row r="1" spans="1:4" ht="18.75" customHeight="1" x14ac:dyDescent="0.3">
      <c r="A1" s="79" t="s">
        <v>69</v>
      </c>
      <c r="B1" s="80"/>
      <c r="C1" s="80"/>
      <c r="D1" s="80"/>
    </row>
    <row r="2" spans="1:4" ht="18.75" customHeight="1" x14ac:dyDescent="0.3">
      <c r="A2" s="79" t="s">
        <v>34</v>
      </c>
      <c r="B2" s="80"/>
      <c r="C2" s="80"/>
      <c r="D2" s="80"/>
    </row>
    <row r="3" spans="1:4" x14ac:dyDescent="0.25">
      <c r="A3" s="35"/>
      <c r="B3" s="35"/>
      <c r="C3" s="35"/>
      <c r="D3" s="36"/>
    </row>
    <row r="4" spans="1:4" ht="30" customHeight="1" x14ac:dyDescent="0.25">
      <c r="A4" s="14" t="s">
        <v>70</v>
      </c>
      <c r="B4" s="15" t="s">
        <v>71</v>
      </c>
      <c r="C4" s="15" t="s">
        <v>72</v>
      </c>
      <c r="D4" s="16" t="s">
        <v>73</v>
      </c>
    </row>
    <row r="5" spans="1:4" ht="35.25" customHeight="1" x14ac:dyDescent="0.25">
      <c r="A5" s="17" t="s">
        <v>74</v>
      </c>
      <c r="B5" s="18">
        <f>MIN('13-Week Forecast'!B20:N20)</f>
        <v>1420000</v>
      </c>
      <c r="C5" s="18">
        <f>MIN('13-Week Forecast'!Q20:AC20)</f>
        <v>727000</v>
      </c>
      <c r="D5" s="19" t="s">
        <v>75</v>
      </c>
    </row>
    <row r="6" spans="1:4" ht="18" customHeight="1" x14ac:dyDescent="0.25">
      <c r="A6" s="17" t="s">
        <v>76</v>
      </c>
      <c r="B6" s="18">
        <f>MAX('13-Week Forecast'!B21:N21)</f>
        <v>80000</v>
      </c>
      <c r="C6" s="18">
        <f>MAX('13-Week Forecast'!Q21:AC21)</f>
        <v>773000</v>
      </c>
      <c r="D6" s="19" t="s">
        <v>77</v>
      </c>
    </row>
    <row r="7" spans="1:4" ht="33.75" customHeight="1" x14ac:dyDescent="0.25">
      <c r="A7" s="17" t="s">
        <v>78</v>
      </c>
      <c r="B7" s="20">
        <f>B5/Assumptions!$B$13</f>
        <v>0.94666666666666666</v>
      </c>
      <c r="C7" s="20">
        <f>C5/Assumptions!$B$13</f>
        <v>0.48466666666666669</v>
      </c>
      <c r="D7" s="19" t="s">
        <v>79</v>
      </c>
    </row>
    <row r="8" spans="1:4" ht="31.5" customHeight="1" x14ac:dyDescent="0.25">
      <c r="A8" s="17" t="s">
        <v>80</v>
      </c>
      <c r="B8" s="18">
        <f>ABS(AVERAGEIF('13-Week Forecast'!B19:N19,"&lt;0"))</f>
        <v>810000</v>
      </c>
      <c r="C8" s="18">
        <f>ABS(AVERAGEIF('13-Week Forecast'!Q19:AC19,"&lt;0"))</f>
        <v>857250</v>
      </c>
      <c r="D8" s="21" t="s">
        <v>81</v>
      </c>
    </row>
    <row r="9" spans="1:4" ht="31.5" customHeight="1" x14ac:dyDescent="0.25">
      <c r="A9" s="17" t="s">
        <v>82</v>
      </c>
      <c r="B9" s="22">
        <f>'13-Week Forecast'!$B$5/Dashboard!$B$8</f>
        <v>3.0864197530864197</v>
      </c>
      <c r="C9" s="22">
        <f>'13-Week Forecast'!$B$5/Dashboard!$C$8</f>
        <v>2.9163021289005542</v>
      </c>
      <c r="D9" s="19" t="s">
        <v>83</v>
      </c>
    </row>
    <row r="10" spans="1:4" ht="31.5" customHeight="1" x14ac:dyDescent="0.25">
      <c r="A10" s="23"/>
      <c r="B10" s="24"/>
      <c r="C10" s="24"/>
      <c r="D10" s="25"/>
    </row>
    <row r="11" spans="1:4" ht="31.5" customHeight="1" x14ac:dyDescent="0.25">
      <c r="A11" s="26" t="s">
        <v>84</v>
      </c>
      <c r="B11" s="27" t="s">
        <v>71</v>
      </c>
      <c r="C11" s="27" t="s">
        <v>72</v>
      </c>
      <c r="D11" s="26" t="s">
        <v>73</v>
      </c>
    </row>
    <row r="12" spans="1:4" ht="18" customHeight="1" x14ac:dyDescent="0.25">
      <c r="A12" s="28" t="s">
        <v>85</v>
      </c>
      <c r="B12" s="29">
        <f>AVERAGE('13-Week Forecast'!B19:N19)</f>
        <v>-62307.692307692305</v>
      </c>
      <c r="C12" s="29">
        <f>AVERAGE('13-Week Forecast'!Q19:AC19)</f>
        <v>-120461.53846153847</v>
      </c>
      <c r="D12" s="28"/>
    </row>
    <row r="13" spans="1:4" ht="18" customHeight="1" x14ac:dyDescent="0.25">
      <c r="A13" s="30" t="s">
        <v>86</v>
      </c>
      <c r="B13" s="29">
        <f>MIN('13-Week Forecast'!B19:N19)</f>
        <v>-1030000</v>
      </c>
      <c r="C13" s="29">
        <f>MIN('13-Week Forecast'!Q19:AC19)</f>
        <v>-1093000</v>
      </c>
      <c r="D13" s="31" t="s">
        <v>87</v>
      </c>
    </row>
    <row r="14" spans="1:4" ht="18" customHeight="1" x14ac:dyDescent="0.25">
      <c r="A14" s="30" t="s">
        <v>88</v>
      </c>
      <c r="B14" s="29">
        <f>'13-Week Forecast'!O19</f>
        <v>-810000</v>
      </c>
      <c r="C14" s="29">
        <f>'13-Week Forecast'!AD19</f>
        <v>-1566000</v>
      </c>
      <c r="D14" s="28"/>
    </row>
    <row r="15" spans="1:4" ht="18" customHeight="1" x14ac:dyDescent="0.25">
      <c r="A15" s="17" t="s">
        <v>89</v>
      </c>
      <c r="B15" s="29">
        <f>AVERAGE('13-Week Forecast'!B20:N20)</f>
        <v>2170000</v>
      </c>
      <c r="C15" s="29">
        <f>AVERAGE('13-Week Forecast'!Q20:AC20)</f>
        <v>1792000</v>
      </c>
      <c r="D15" s="28"/>
    </row>
    <row r="16" spans="1:4" ht="18" customHeight="1" x14ac:dyDescent="0.25">
      <c r="A16" s="30" t="s">
        <v>90</v>
      </c>
      <c r="B16" s="18">
        <f>'13-Week Forecast'!O7</f>
        <v>14400000</v>
      </c>
      <c r="C16" s="18">
        <f>'13-Week Forecast'!AD7</f>
        <v>12240000</v>
      </c>
      <c r="D16" s="17"/>
    </row>
    <row r="17" spans="1:4" ht="18" customHeight="1" x14ac:dyDescent="0.25">
      <c r="A17" s="30" t="s">
        <v>91</v>
      </c>
      <c r="B17" s="18">
        <f>'13-Week Forecast'!O18</f>
        <v>15860000</v>
      </c>
      <c r="C17" s="18">
        <f>'13-Week Forecast'!AD18</f>
        <v>14456000</v>
      </c>
      <c r="D17" s="17"/>
    </row>
    <row r="18" spans="1:4" ht="18" customHeight="1" x14ac:dyDescent="0.25">
      <c r="A18" s="30" t="s">
        <v>92</v>
      </c>
      <c r="B18" s="20">
        <f>B16/B17</f>
        <v>0.90794451450189151</v>
      </c>
      <c r="C18" s="20">
        <f>C16/C17</f>
        <v>0.84670724958494747</v>
      </c>
      <c r="D18" s="17"/>
    </row>
    <row r="19" spans="1:4" ht="18" customHeight="1" x14ac:dyDescent="0.25">
      <c r="A19" s="17"/>
      <c r="B19" s="17"/>
      <c r="C19" s="17"/>
      <c r="D19" s="17"/>
    </row>
    <row r="20" spans="1:4" x14ac:dyDescent="0.25">
      <c r="A20" s="32"/>
      <c r="B20" s="32"/>
      <c r="C20" s="32"/>
      <c r="D20" s="32"/>
    </row>
    <row r="21" spans="1:4" ht="29.25" customHeight="1" x14ac:dyDescent="0.25">
      <c r="A21" s="26" t="s">
        <v>93</v>
      </c>
      <c r="B21" s="27" t="s">
        <v>71</v>
      </c>
      <c r="C21" s="27" t="s">
        <v>72</v>
      </c>
      <c r="D21" s="26" t="s">
        <v>73</v>
      </c>
    </row>
    <row r="22" spans="1:4" ht="30" customHeight="1" x14ac:dyDescent="0.25">
      <c r="A22" s="17" t="s">
        <v>94</v>
      </c>
      <c r="B22" s="33">
        <f>COUNTIF('13-Week Forecast'!B20:N20,"&lt;"&amp;Assumptions!$B$13)</f>
        <v>1</v>
      </c>
      <c r="C22" s="29">
        <f>COUNTIF('13-Week Forecast'!A20:AC20,"&lt;"&amp;Assumptions!$B$13)</f>
        <v>5</v>
      </c>
      <c r="D22" s="31" t="s">
        <v>95</v>
      </c>
    </row>
    <row r="23" spans="1:4" ht="21" customHeight="1" x14ac:dyDescent="0.25">
      <c r="A23" s="17" t="s">
        <v>96</v>
      </c>
      <c r="B23" s="29" t="str">
        <f t="array" ref="B23">IFERROR(INDEX('13-Week Forecast'!B4:N4, MATCH(TRUE, '13-Week Forecast'!B20:N20&lt;0, 0)), "No Negative Week")</f>
        <v>No Negative Week</v>
      </c>
      <c r="C23" s="29" t="str">
        <f t="array" ref="C23">IFERROR(INDEX('13-Week Forecast'!Q4:AC4, MATCH(TRUE, '13-Week Forecast'!Q20:AC20&lt;0, 0)), "No Negative Week")</f>
        <v>No Negative Week</v>
      </c>
      <c r="D23" s="31"/>
    </row>
    <row r="24" spans="1:4" x14ac:dyDescent="0.25">
      <c r="A24" s="17"/>
      <c r="B24" s="19"/>
      <c r="C24" s="17"/>
      <c r="D24" s="17"/>
    </row>
    <row r="25" spans="1:4" ht="24" customHeight="1" x14ac:dyDescent="0.25">
      <c r="A25" s="26" t="s">
        <v>97</v>
      </c>
      <c r="B25" s="27" t="s">
        <v>71</v>
      </c>
      <c r="C25" s="27" t="s">
        <v>72</v>
      </c>
      <c r="D25" s="26" t="s">
        <v>73</v>
      </c>
    </row>
    <row r="26" spans="1:4" ht="18" customHeight="1" x14ac:dyDescent="0.25">
      <c r="A26" s="34" t="s">
        <v>98</v>
      </c>
      <c r="B26" s="18"/>
      <c r="C26" s="18">
        <f>C5-B5</f>
        <v>-693000</v>
      </c>
      <c r="D26" s="31" t="s">
        <v>99</v>
      </c>
    </row>
    <row r="27" spans="1:4" ht="18" customHeight="1" x14ac:dyDescent="0.25">
      <c r="A27" s="34" t="s">
        <v>100</v>
      </c>
      <c r="B27" s="29"/>
      <c r="C27" s="29">
        <f>C6-B6</f>
        <v>693000</v>
      </c>
      <c r="D27" s="31" t="s">
        <v>101</v>
      </c>
    </row>
    <row r="28" spans="1:4" ht="18" customHeight="1" x14ac:dyDescent="0.25">
      <c r="A28" s="17"/>
      <c r="B28" s="17"/>
      <c r="C28" s="17"/>
      <c r="D28" s="17"/>
    </row>
  </sheetData>
  <sheetProtection algorithmName="SHA-512" hashValue="thi7E/SC8JWz6nrga/5Mv4gZhUnQwxjFcNJWGFPGsLNyYs8GMqOj5+KfTH6qOZ98A+7RossU+fEsQfXd3zI/Ig==" saltValue="JZ1IhXPDkOIQ1XJL4EnFAg==" spinCount="100000" sheet="1" objects="1" scenarios="1" selectLockedCells="1"/>
  <mergeCells count="2">
    <mergeCell ref="A1:D1"/>
    <mergeCell ref="A2:D2"/>
  </mergeCells>
  <conditionalFormatting sqref="B7:C7">
    <cfRule type="cellIs" dxfId="1" priority="3" operator="lessThan">
      <formula>1</formula>
    </cfRule>
  </conditionalFormatting>
  <conditionalFormatting sqref="B18:C18">
    <cfRule type="cellIs" dxfId="0" priority="2" operator="lessThan">
      <formula>1</formula>
    </cfRule>
  </conditionalFormatting>
  <pageMargins left="0.75" right="0.75" top="1" bottom="1" header="0.5" footer="0.5"/>
  <drawing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2060"/>
  </sheetPr>
  <dimension ref="A1:C39"/>
  <sheetViews>
    <sheetView workbookViewId="0">
      <selection activeCell="D1" sqref="D1"/>
    </sheetView>
  </sheetViews>
  <sheetFormatPr defaultRowHeight="15" x14ac:dyDescent="0.25"/>
  <cols>
    <col min="1" max="1" width="35.85546875" style="13" customWidth="1"/>
    <col min="2" max="2" width="33" style="13" customWidth="1"/>
    <col min="3" max="3" width="32.28515625" style="13" customWidth="1"/>
    <col min="4" max="16384" width="9.140625" style="13"/>
  </cols>
  <sheetData>
    <row r="1" spans="1:3" ht="18" customHeight="1" x14ac:dyDescent="0.25">
      <c r="A1" s="81" t="s">
        <v>102</v>
      </c>
      <c r="B1" s="81"/>
      <c r="C1" s="81"/>
    </row>
    <row r="2" spans="1:3" ht="18" customHeight="1" x14ac:dyDescent="0.25">
      <c r="A2" s="81" t="s">
        <v>34</v>
      </c>
      <c r="B2" s="81"/>
      <c r="C2" s="81"/>
    </row>
    <row r="3" spans="1:3" ht="21" customHeight="1" x14ac:dyDescent="0.25">
      <c r="A3" s="68" t="s">
        <v>108</v>
      </c>
      <c r="B3" s="69" t="s">
        <v>71</v>
      </c>
      <c r="C3" s="69" t="s">
        <v>72</v>
      </c>
    </row>
    <row r="4" spans="1:3" ht="18" customHeight="1" x14ac:dyDescent="0.25">
      <c r="A4" s="70" t="s">
        <v>103</v>
      </c>
      <c r="B4" s="70" t="str">
        <f>IF(Dashboard!B5&lt;0,"CRITICAL: Cash turns negative. Immediate funding required.",IF(Dashboard!B5&lt;Assumptions!B13,"WARNING: Cash below safe level.","Stable liquidity position."))</f>
        <v>WARNING: Cash below safe level.</v>
      </c>
      <c r="C4" s="70" t="str">
        <f>IF(Dashboard!C5&lt;0,"CRITICAL: Cash turns negative. Immediate funding required.",IF(Dashboard!C5&lt;Assumptions!B13,"WARNING: Cash below safe level.","Stable liquidity position."))</f>
        <v>WARNING: Cash below safe level.</v>
      </c>
    </row>
    <row r="5" spans="1:3" ht="18" customHeight="1" x14ac:dyDescent="0.25">
      <c r="A5" s="70" t="s">
        <v>104</v>
      </c>
      <c r="B5" s="70" t="str">
        <f>IF(Dashboard!B6&gt;0,"Funding required: "&amp;TEXT(Dashboard!B5,"#,##0"),"No funding gap identified.")</f>
        <v>Funding required: 1,420,000</v>
      </c>
      <c r="C5" s="70" t="str">
        <f>IF(Dashboard!C6&gt;0,"Funding required: "&amp;TEXT(Dashboard!C5,"#,##0"),"No funding gap identified.")</f>
        <v>Funding required: 727,000</v>
      </c>
    </row>
    <row r="6" spans="1:3" ht="18" customHeight="1" x14ac:dyDescent="0.25">
      <c r="A6" s="70" t="s">
        <v>105</v>
      </c>
      <c r="B6" s="70" t="str">
        <f>IF(Dashboard!B7&lt;0.5,"High buffer risk.",IF(Dashboard!B7&lt;1,"Buffer breached.","Buffer adequately maintained."))</f>
        <v>Buffer breached.</v>
      </c>
      <c r="C6" s="70" t="str">
        <f>IF(Dashboard!C7&lt;0.5,"High buffer risk.",IF(Dashboard!C7&lt;1,"Buffer breached.","Buffer adequately maintained."))</f>
        <v>High buffer risk.</v>
      </c>
    </row>
    <row r="7" spans="1:3" ht="18" customHeight="1" x14ac:dyDescent="0.25">
      <c r="A7" s="70" t="s">
        <v>106</v>
      </c>
      <c r="B7" s="70" t="str">
        <f>IF(Dashboard!B9&lt;4,"Runway critical (&lt;4 weeks).",IF(Dashboard!B9&lt;8,"Runway moderate.","Comfortable runway position."))</f>
        <v>Runway critical (&lt;4 weeks).</v>
      </c>
      <c r="C7" s="70" t="str">
        <f>IF(Dashboard!C9&lt;4,"Runway critical (&lt;4 weeks).",IF(Dashboard!C9&lt;8,"Runway moderate.","Comfortable runway position."))</f>
        <v>Runway critical (&lt;4 weeks).</v>
      </c>
    </row>
    <row r="8" spans="1:3" ht="18" customHeight="1" x14ac:dyDescent="0.25">
      <c r="A8" s="70" t="s">
        <v>107</v>
      </c>
      <c r="B8" s="70" t="str">
        <f>IF(Dashboard!B22&gt;6,"Frequent weak cash weeks detected.","Cash flow pattern relatively stable.")</f>
        <v>Cash flow pattern relatively stable.</v>
      </c>
      <c r="C8" s="70" t="str">
        <f>IF(Dashboard!C22&gt;6,"Frequent weak cash weeks detected.","Cash flow pattern relatively stable.")</f>
        <v>Cash flow pattern relatively stable.</v>
      </c>
    </row>
    <row r="9" spans="1:3" ht="18" customHeight="1" x14ac:dyDescent="0.25">
      <c r="A9" s="71" t="s">
        <v>156</v>
      </c>
      <c r="B9" s="72">
        <f>MIN(100,(IF(Dashboard!B9&lt;4,30,0))+(IF(Dashboard!B7&lt;1,25,0))+(IF(Dashboard!B6&gt;0,20,0))+(IF(Dashboard!B5&lt;Assumptions!$B$13,15,0))+(IF(Dashboard!B22&gt;3,10,0)))</f>
        <v>90</v>
      </c>
      <c r="C9" s="72">
        <f>MIN(100,(IF(Dashboard!C9&lt;4,30,0))+(IF(Dashboard!C7&lt;1,25,0))+(IF(Dashboard!C6&gt;0,20,0))+(IF(Dashboard!C5&lt;Assumptions!$B$13,15,0))+(IF(Dashboard!C22&gt;3,10,0)))</f>
        <v>100</v>
      </c>
    </row>
    <row r="10" spans="1:3" ht="18" customHeight="1" x14ac:dyDescent="0.25">
      <c r="A10" s="73" t="s">
        <v>157</v>
      </c>
      <c r="B10" s="74" t="str">
        <f>IF(B9&gt;=81,"CRITICAL",
IF(B9&gt;=61,"HIGH",
IF(B9&gt;=31,"MODERATE","LOW")))</f>
        <v>CRITICAL</v>
      </c>
      <c r="C10" s="74" t="str">
        <f>IF(C9&gt;=81,"CRITICAL",
IF(C9&gt;=61,"HIGH",
IF(C9&gt;=31,"MODERATE","LOW")))</f>
        <v>CRITICAL</v>
      </c>
    </row>
    <row r="11" spans="1:3" x14ac:dyDescent="0.25">
      <c r="A11" s="32"/>
      <c r="B11" s="32"/>
      <c r="C11" s="32"/>
    </row>
    <row r="12" spans="1:3" x14ac:dyDescent="0.25">
      <c r="A12" s="32"/>
      <c r="B12" s="32"/>
      <c r="C12" s="32"/>
    </row>
    <row r="13" spans="1:3" ht="17.25" x14ac:dyDescent="0.25">
      <c r="A13" s="66" t="s">
        <v>109</v>
      </c>
      <c r="B13" s="32"/>
      <c r="C13" s="32"/>
    </row>
    <row r="14" spans="1:3" x14ac:dyDescent="0.25">
      <c r="A14" s="32"/>
      <c r="B14" s="32"/>
      <c r="C14" s="32"/>
    </row>
    <row r="15" spans="1:3" ht="64.5" customHeight="1" x14ac:dyDescent="0.25">
      <c r="A15" s="82" t="s">
        <v>110</v>
      </c>
      <c r="B15" s="82"/>
      <c r="C15" s="82"/>
    </row>
    <row r="16" spans="1:3" ht="53.25" customHeight="1" x14ac:dyDescent="0.25">
      <c r="A16" s="82" t="s">
        <v>111</v>
      </c>
      <c r="B16" s="82"/>
      <c r="C16" s="82"/>
    </row>
    <row r="17" spans="1:3" ht="45" customHeight="1" x14ac:dyDescent="0.25">
      <c r="A17" s="82" t="s">
        <v>112</v>
      </c>
      <c r="B17" s="82"/>
      <c r="C17" s="82"/>
    </row>
    <row r="18" spans="1:3" x14ac:dyDescent="0.25">
      <c r="A18" s="32"/>
      <c r="B18" s="32"/>
      <c r="C18" s="32"/>
    </row>
    <row r="19" spans="1:3" x14ac:dyDescent="0.25">
      <c r="A19" s="32" t="s">
        <v>113</v>
      </c>
      <c r="B19" s="32"/>
      <c r="C19" s="32"/>
    </row>
    <row r="20" spans="1:3" x14ac:dyDescent="0.25">
      <c r="A20" s="32"/>
      <c r="B20" s="32"/>
      <c r="C20" s="32"/>
    </row>
    <row r="21" spans="1:3" x14ac:dyDescent="0.25">
      <c r="A21" s="32" t="s">
        <v>114</v>
      </c>
      <c r="B21" s="32"/>
      <c r="C21" s="32"/>
    </row>
    <row r="22" spans="1:3" x14ac:dyDescent="0.25">
      <c r="A22" s="32"/>
      <c r="B22" s="32"/>
      <c r="C22" s="32"/>
    </row>
    <row r="23" spans="1:3" x14ac:dyDescent="0.25">
      <c r="A23" s="67" t="s">
        <v>123</v>
      </c>
      <c r="B23" s="32"/>
      <c r="C23" s="32"/>
    </row>
    <row r="24" spans="1:3" x14ac:dyDescent="0.25">
      <c r="A24" s="67" t="s">
        <v>124</v>
      </c>
      <c r="B24" s="32"/>
      <c r="C24" s="32"/>
    </row>
    <row r="25" spans="1:3" x14ac:dyDescent="0.25">
      <c r="A25" s="67" t="s">
        <v>125</v>
      </c>
      <c r="B25" s="32"/>
      <c r="C25" s="32"/>
    </row>
    <row r="26" spans="1:3" x14ac:dyDescent="0.25">
      <c r="A26" s="67" t="s">
        <v>126</v>
      </c>
      <c r="B26" s="32"/>
      <c r="C26" s="32"/>
    </row>
    <row r="27" spans="1:3" x14ac:dyDescent="0.25">
      <c r="A27" s="67" t="s">
        <v>127</v>
      </c>
      <c r="B27" s="32"/>
      <c r="C27" s="32"/>
    </row>
    <row r="28" spans="1:3" x14ac:dyDescent="0.25">
      <c r="A28" s="67" t="s">
        <v>128</v>
      </c>
      <c r="B28" s="32"/>
      <c r="C28" s="32"/>
    </row>
    <row r="29" spans="1:3" x14ac:dyDescent="0.25">
      <c r="A29" s="32"/>
      <c r="B29" s="32"/>
      <c r="C29" s="32"/>
    </row>
    <row r="30" spans="1:3" x14ac:dyDescent="0.25">
      <c r="A30" s="32" t="s">
        <v>115</v>
      </c>
      <c r="B30" s="32"/>
      <c r="C30" s="32"/>
    </row>
    <row r="31" spans="1:3" x14ac:dyDescent="0.25">
      <c r="A31" s="32"/>
      <c r="B31" s="32"/>
      <c r="C31" s="32"/>
    </row>
    <row r="32" spans="1:3" x14ac:dyDescent="0.25">
      <c r="A32" s="32" t="s">
        <v>116</v>
      </c>
      <c r="B32" s="32"/>
      <c r="C32" s="32"/>
    </row>
    <row r="33" spans="1:3" x14ac:dyDescent="0.25">
      <c r="A33" s="32" t="s">
        <v>117</v>
      </c>
      <c r="B33" s="32"/>
      <c r="C33" s="32"/>
    </row>
    <row r="34" spans="1:3" x14ac:dyDescent="0.25">
      <c r="A34" s="32" t="s">
        <v>118</v>
      </c>
      <c r="B34" s="32"/>
      <c r="C34" s="32"/>
    </row>
    <row r="35" spans="1:3" x14ac:dyDescent="0.25">
      <c r="A35" s="32" t="s">
        <v>119</v>
      </c>
      <c r="B35" s="32"/>
      <c r="C35" s="32"/>
    </row>
    <row r="36" spans="1:3" x14ac:dyDescent="0.25">
      <c r="A36" s="32" t="s">
        <v>120</v>
      </c>
      <c r="B36" s="32"/>
      <c r="C36" s="32"/>
    </row>
    <row r="37" spans="1:3" x14ac:dyDescent="0.25">
      <c r="A37" s="32"/>
      <c r="B37" s="32"/>
      <c r="C37" s="32"/>
    </row>
    <row r="38" spans="1:3" x14ac:dyDescent="0.25">
      <c r="A38" s="32" t="s">
        <v>121</v>
      </c>
      <c r="B38" s="32"/>
      <c r="C38" s="32"/>
    </row>
    <row r="39" spans="1:3" x14ac:dyDescent="0.25">
      <c r="A39" s="32" t="s">
        <v>122</v>
      </c>
      <c r="B39" s="32"/>
      <c r="C39" s="32"/>
    </row>
  </sheetData>
  <sheetProtection algorithmName="SHA-512" hashValue="nOcshSoL67d4nerTAX2rRcPSh7VXP0KmmnMQqfBmWU+bbEJu7oMvyxDZFe9dBQm3hvUI11r2gvL7nFKvNV9CQA==" saltValue="2LneOs42vRheLs3zJKAf/w==" spinCount="100000" sheet="1" objects="1" scenarios="1" selectLockedCells="1"/>
  <mergeCells count="5">
    <mergeCell ref="A1:C1"/>
    <mergeCell ref="A2:C2"/>
    <mergeCell ref="A15:C15"/>
    <mergeCell ref="A16:C16"/>
    <mergeCell ref="A17:C17"/>
  </mergeCells>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CABEAAA-8B90-4C13-AB02-4E661E5D99A3}">
  <sheetPr>
    <tabColor rgb="FF002060"/>
  </sheetPr>
  <dimension ref="A2:C24"/>
  <sheetViews>
    <sheetView workbookViewId="0">
      <selection activeCell="A6" sqref="A6:C6"/>
    </sheetView>
  </sheetViews>
  <sheetFormatPr defaultRowHeight="15" x14ac:dyDescent="0.25"/>
  <cols>
    <col min="1" max="1" width="38" customWidth="1"/>
    <col min="2" max="2" width="23" customWidth="1"/>
    <col min="3" max="3" width="77.7109375" customWidth="1"/>
  </cols>
  <sheetData>
    <row r="2" spans="1:3" ht="30" x14ac:dyDescent="0.25">
      <c r="A2" s="84" t="s">
        <v>155</v>
      </c>
      <c r="B2" s="84"/>
      <c r="C2" s="84"/>
    </row>
    <row r="3" spans="1:3" x14ac:dyDescent="0.25">
      <c r="A3" s="1"/>
      <c r="B3" s="1"/>
      <c r="C3" s="1"/>
    </row>
    <row r="4" spans="1:3" x14ac:dyDescent="0.25">
      <c r="A4" s="63" t="s">
        <v>129</v>
      </c>
      <c r="B4" s="1"/>
      <c r="C4" s="1"/>
    </row>
    <row r="5" spans="1:3" x14ac:dyDescent="0.25">
      <c r="A5" s="1"/>
      <c r="B5" s="1"/>
      <c r="C5" s="1"/>
    </row>
    <row r="6" spans="1:3" ht="18" customHeight="1" x14ac:dyDescent="0.25">
      <c r="A6" s="65" t="s">
        <v>130</v>
      </c>
      <c r="B6" s="65" t="s">
        <v>131</v>
      </c>
      <c r="C6" s="65" t="s">
        <v>132</v>
      </c>
    </row>
    <row r="7" spans="1:3" ht="18" customHeight="1" x14ac:dyDescent="0.25">
      <c r="A7" s="62" t="s">
        <v>133</v>
      </c>
      <c r="B7" s="62">
        <v>30</v>
      </c>
      <c r="C7" s="62" t="s">
        <v>134</v>
      </c>
    </row>
    <row r="8" spans="1:3" ht="18" customHeight="1" x14ac:dyDescent="0.25">
      <c r="A8" s="62" t="s">
        <v>135</v>
      </c>
      <c r="B8" s="62">
        <v>25</v>
      </c>
      <c r="C8" s="62" t="s">
        <v>136</v>
      </c>
    </row>
    <row r="9" spans="1:3" ht="18" customHeight="1" x14ac:dyDescent="0.25">
      <c r="A9" s="62" t="s">
        <v>137</v>
      </c>
      <c r="B9" s="62">
        <v>20</v>
      </c>
      <c r="C9" s="62" t="s">
        <v>138</v>
      </c>
    </row>
    <row r="10" spans="1:3" ht="18" customHeight="1" x14ac:dyDescent="0.25">
      <c r="A10" s="62" t="s">
        <v>139</v>
      </c>
      <c r="B10" s="62">
        <v>15</v>
      </c>
      <c r="C10" s="62" t="s">
        <v>140</v>
      </c>
    </row>
    <row r="11" spans="1:3" ht="18" customHeight="1" x14ac:dyDescent="0.25">
      <c r="A11" s="62" t="s">
        <v>141</v>
      </c>
      <c r="B11" s="62">
        <v>10</v>
      </c>
      <c r="C11" s="62" t="s">
        <v>142</v>
      </c>
    </row>
    <row r="12" spans="1:3" ht="18" customHeight="1" x14ac:dyDescent="0.25">
      <c r="A12" s="1"/>
      <c r="B12" s="1"/>
      <c r="C12" s="1"/>
    </row>
    <row r="13" spans="1:3" ht="18" customHeight="1" x14ac:dyDescent="0.25">
      <c r="A13" s="1" t="s">
        <v>143</v>
      </c>
      <c r="B13" s="1"/>
      <c r="C13" s="1"/>
    </row>
    <row r="14" spans="1:3" x14ac:dyDescent="0.25">
      <c r="A14" s="1"/>
      <c r="B14" s="1"/>
      <c r="C14" s="1"/>
    </row>
    <row r="15" spans="1:3" x14ac:dyDescent="0.25">
      <c r="A15" s="1"/>
      <c r="B15" s="1"/>
      <c r="C15" s="1"/>
    </row>
    <row r="16" spans="1:3" x14ac:dyDescent="0.25">
      <c r="A16" s="1"/>
      <c r="B16" s="1"/>
      <c r="C16" s="1"/>
    </row>
    <row r="17" spans="1:3" ht="30" x14ac:dyDescent="0.25">
      <c r="A17" s="83" t="s">
        <v>154</v>
      </c>
      <c r="B17" s="83"/>
      <c r="C17" s="1"/>
    </row>
    <row r="18" spans="1:3" x14ac:dyDescent="0.25">
      <c r="A18" s="64"/>
      <c r="B18" s="64"/>
      <c r="C18" s="1"/>
    </row>
    <row r="19" spans="1:3" x14ac:dyDescent="0.25">
      <c r="A19" s="61" t="s">
        <v>144</v>
      </c>
      <c r="B19" s="61" t="s">
        <v>145</v>
      </c>
      <c r="C19" s="1"/>
    </row>
    <row r="20" spans="1:3" x14ac:dyDescent="0.25">
      <c r="A20" s="62" t="s">
        <v>146</v>
      </c>
      <c r="B20" s="62" t="s">
        <v>147</v>
      </c>
      <c r="C20" s="1"/>
    </row>
    <row r="21" spans="1:3" x14ac:dyDescent="0.25">
      <c r="A21" s="62" t="s">
        <v>148</v>
      </c>
      <c r="B21" s="62" t="s">
        <v>149</v>
      </c>
      <c r="C21" s="1"/>
    </row>
    <row r="22" spans="1:3" x14ac:dyDescent="0.25">
      <c r="A22" s="62" t="s">
        <v>150</v>
      </c>
      <c r="B22" s="62" t="s">
        <v>151</v>
      </c>
      <c r="C22" s="1"/>
    </row>
    <row r="23" spans="1:3" x14ac:dyDescent="0.25">
      <c r="A23" s="62" t="s">
        <v>152</v>
      </c>
      <c r="B23" s="62" t="s">
        <v>153</v>
      </c>
      <c r="C23" s="1"/>
    </row>
    <row r="24" spans="1:3" x14ac:dyDescent="0.25">
      <c r="A24" s="64"/>
      <c r="B24" s="64"/>
      <c r="C24" s="1"/>
    </row>
  </sheetData>
  <mergeCells count="2">
    <mergeCell ref="A17:B17"/>
    <mergeCell ref="A2:C2"/>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6</vt:i4>
      </vt:variant>
      <vt:variant>
        <vt:lpstr>Named Ranges</vt:lpstr>
      </vt:variant>
      <vt:variant>
        <vt:i4>1</vt:i4>
      </vt:variant>
    </vt:vector>
  </HeadingPairs>
  <TitlesOfParts>
    <vt:vector size="7" baseType="lpstr">
      <vt:lpstr>How to use</vt:lpstr>
      <vt:lpstr>Assumptions</vt:lpstr>
      <vt:lpstr>13-Week Forecast</vt:lpstr>
      <vt:lpstr>Dashboard</vt:lpstr>
      <vt:lpstr>AI Insights</vt:lpstr>
      <vt:lpstr>Risk Scoring Logic</vt:lpstr>
      <vt:lpstr>'How to use'!Print_Area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madhu roy</cp:lastModifiedBy>
  <dcterms:created xsi:type="dcterms:W3CDTF">2026-02-28T06:19:32Z</dcterms:created>
  <dcterms:modified xsi:type="dcterms:W3CDTF">2026-03-01T08:02:16Z</dcterms:modified>
</cp:coreProperties>
</file>