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ACER Data website\MAYA\CAMSROY website\Excel Template\"/>
    </mc:Choice>
  </mc:AlternateContent>
  <xr:revisionPtr revIDLastSave="0" documentId="13_ncr:1_{5A2F7E97-BB1C-420E-B06B-CB499C305D5B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How to Use" sheetId="8" r:id="rId1"/>
    <sheet name="PL_3Y_SME" sheetId="1" r:id="rId2"/>
    <sheet name="BS_3Y_SME" sheetId="2" r:id="rId3"/>
    <sheet name="FREECASHFLOW_FY3" sheetId="3" r:id="rId4"/>
    <sheet name="WORKING_CAPITAL" sheetId="4" r:id="rId5"/>
    <sheet name="Ratio-KPI" sheetId="5" r:id="rId6"/>
    <sheet name="Dashboard" sheetId="6" r:id="rId7"/>
    <sheet name="AI_Summary" sheetId="7" r:id="rId8"/>
  </sheets>
  <definedNames>
    <definedName name="_xlnm.Print_Area" localSheetId="2">BS_3Y_SME!$A$1:$F$45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9" i="6" l="1"/>
  <c r="B59" i="6"/>
  <c r="C54" i="6"/>
  <c r="B54" i="6"/>
  <c r="B41" i="6"/>
  <c r="C40" i="6"/>
  <c r="B40" i="6"/>
  <c r="A22" i="6"/>
  <c r="A21" i="6"/>
  <c r="A20" i="6"/>
  <c r="A17" i="6"/>
  <c r="C20" i="5"/>
  <c r="C41" i="6" s="1"/>
  <c r="B20" i="5"/>
  <c r="C19" i="5"/>
  <c r="B19" i="5"/>
  <c r="C18" i="5"/>
  <c r="C39" i="6" s="1"/>
  <c r="B18" i="5"/>
  <c r="B39" i="6" s="1"/>
  <c r="C7" i="4"/>
  <c r="C30" i="6" s="1"/>
  <c r="B7" i="4"/>
  <c r="B30" i="6" s="1"/>
  <c r="C6" i="4"/>
  <c r="C29" i="6" s="1"/>
  <c r="B6" i="4"/>
  <c r="B29" i="6" s="1"/>
  <c r="C20" i="3"/>
  <c r="B20" i="3"/>
  <c r="C19" i="3"/>
  <c r="B19" i="3"/>
  <c r="C17" i="3"/>
  <c r="C56" i="6" s="1"/>
  <c r="B17" i="3"/>
  <c r="B56" i="6" s="1"/>
  <c r="C14" i="3"/>
  <c r="B14" i="3"/>
  <c r="C12" i="3"/>
  <c r="B12" i="3"/>
  <c r="C11" i="3"/>
  <c r="B11" i="3"/>
  <c r="C10" i="3"/>
  <c r="B10" i="3"/>
  <c r="C9" i="3"/>
  <c r="B9" i="3"/>
  <c r="C7" i="3"/>
  <c r="B7" i="3"/>
  <c r="F41" i="2"/>
  <c r="E41" i="2"/>
  <c r="F39" i="2"/>
  <c r="E39" i="2"/>
  <c r="F38" i="2"/>
  <c r="E38" i="2"/>
  <c r="C37" i="2"/>
  <c r="B9" i="4" s="1"/>
  <c r="B37" i="2"/>
  <c r="B40" i="2" s="1"/>
  <c r="B42" i="2" s="1"/>
  <c r="D36" i="2"/>
  <c r="D40" i="2" s="1"/>
  <c r="C36" i="2"/>
  <c r="F36" i="2" s="1"/>
  <c r="F35" i="2"/>
  <c r="E35" i="2"/>
  <c r="F34" i="2"/>
  <c r="E34" i="2"/>
  <c r="F33" i="2"/>
  <c r="E33" i="2"/>
  <c r="F32" i="2"/>
  <c r="E32" i="2"/>
  <c r="D32" i="2"/>
  <c r="C32" i="2"/>
  <c r="B32" i="2"/>
  <c r="F31" i="2"/>
  <c r="E31" i="2"/>
  <c r="F30" i="2"/>
  <c r="E30" i="2"/>
  <c r="F29" i="2"/>
  <c r="E29" i="2"/>
  <c r="F28" i="2"/>
  <c r="E28" i="2"/>
  <c r="F27" i="2"/>
  <c r="E27" i="2"/>
  <c r="F24" i="2"/>
  <c r="E24" i="2"/>
  <c r="D19" i="2"/>
  <c r="C6" i="5" s="1"/>
  <c r="C19" i="2"/>
  <c r="F19" i="2" s="1"/>
  <c r="F21" i="2" s="1"/>
  <c r="B19" i="2"/>
  <c r="B21" i="2" s="1"/>
  <c r="F18" i="2"/>
  <c r="E18" i="2"/>
  <c r="F17" i="2"/>
  <c r="E17" i="2"/>
  <c r="F16" i="2"/>
  <c r="E16" i="2"/>
  <c r="F15" i="2"/>
  <c r="E15" i="2"/>
  <c r="F14" i="2"/>
  <c r="E14" i="2"/>
  <c r="F13" i="2"/>
  <c r="E13" i="2"/>
  <c r="F12" i="2"/>
  <c r="E12" i="2"/>
  <c r="D11" i="2"/>
  <c r="C11" i="2"/>
  <c r="F11" i="2" s="1"/>
  <c r="B11" i="2"/>
  <c r="F10" i="2"/>
  <c r="E10" i="2"/>
  <c r="F9" i="2"/>
  <c r="E9" i="2"/>
  <c r="F8" i="2"/>
  <c r="E8" i="2"/>
  <c r="F7" i="2"/>
  <c r="E7" i="2"/>
  <c r="F6" i="2"/>
  <c r="E6" i="2"/>
  <c r="F18" i="1"/>
  <c r="E18" i="1"/>
  <c r="F16" i="1"/>
  <c r="E16" i="1"/>
  <c r="F15" i="1"/>
  <c r="E15" i="1"/>
  <c r="F13" i="1"/>
  <c r="E13" i="1"/>
  <c r="D11" i="1"/>
  <c r="C11" i="5" s="1"/>
  <c r="D10" i="1"/>
  <c r="F10" i="1" s="1"/>
  <c r="C10" i="1"/>
  <c r="E10" i="1" s="1"/>
  <c r="B10" i="1"/>
  <c r="F9" i="1"/>
  <c r="E9" i="1"/>
  <c r="F8" i="1"/>
  <c r="E8" i="1"/>
  <c r="F7" i="1"/>
  <c r="E7" i="1"/>
  <c r="D6" i="1"/>
  <c r="C5" i="4" s="1"/>
  <c r="C6" i="1"/>
  <c r="C11" i="1" s="1"/>
  <c r="B6" i="1"/>
  <c r="B11" i="1" s="1"/>
  <c r="F5" i="1"/>
  <c r="E5" i="1"/>
  <c r="F4" i="1"/>
  <c r="C6" i="6" s="1"/>
  <c r="E4" i="1"/>
  <c r="B6" i="6" s="1"/>
  <c r="B24" i="5" l="1"/>
  <c r="B20" i="6" s="1"/>
  <c r="B26" i="5"/>
  <c r="B22" i="6" s="1"/>
  <c r="B11" i="5"/>
  <c r="C14" i="1"/>
  <c r="C12" i="1"/>
  <c r="B7" i="6" s="1"/>
  <c r="E11" i="1"/>
  <c r="C8" i="4"/>
  <c r="C28" i="6"/>
  <c r="B14" i="1"/>
  <c r="B17" i="1" s="1"/>
  <c r="B19" i="1" s="1"/>
  <c r="B12" i="1"/>
  <c r="C15" i="6"/>
  <c r="D42" i="2"/>
  <c r="C8" i="5"/>
  <c r="C17" i="6" s="1"/>
  <c r="F37" i="2"/>
  <c r="E19" i="2"/>
  <c r="C26" i="5"/>
  <c r="C22" i="6" s="1"/>
  <c r="D12" i="1"/>
  <c r="C7" i="6" s="1"/>
  <c r="C21" i="2"/>
  <c r="C13" i="3"/>
  <c r="C9" i="4"/>
  <c r="D21" i="2"/>
  <c r="B10" i="5"/>
  <c r="E37" i="2"/>
  <c r="C7" i="5"/>
  <c r="C16" i="6" s="1"/>
  <c r="B13" i="3"/>
  <c r="E6" i="1"/>
  <c r="E11" i="2"/>
  <c r="C40" i="2"/>
  <c r="C10" i="5"/>
  <c r="B17" i="5"/>
  <c r="B38" i="6" s="1"/>
  <c r="F11" i="1"/>
  <c r="F6" i="1"/>
  <c r="D14" i="1"/>
  <c r="E36" i="2"/>
  <c r="B5" i="4"/>
  <c r="C17" i="5"/>
  <c r="C38" i="6" s="1"/>
  <c r="C24" i="5"/>
  <c r="C20" i="6" s="1"/>
  <c r="B20" i="1" l="1"/>
  <c r="B25" i="2"/>
  <c r="B7" i="5"/>
  <c r="B16" i="6" s="1"/>
  <c r="B28" i="6"/>
  <c r="B8" i="4"/>
  <c r="B31" i="6" s="1"/>
  <c r="B6" i="5"/>
  <c r="B15" i="6" s="1"/>
  <c r="B7" i="7"/>
  <c r="C31" i="6"/>
  <c r="E42" i="2"/>
  <c r="C5" i="3"/>
  <c r="F14" i="1"/>
  <c r="C25" i="5"/>
  <c r="C21" i="6" s="1"/>
  <c r="D17" i="1"/>
  <c r="C12" i="5"/>
  <c r="E40" i="2"/>
  <c r="E14" i="1"/>
  <c r="B12" i="5"/>
  <c r="B5" i="3"/>
  <c r="B25" i="5"/>
  <c r="B21" i="6" s="1"/>
  <c r="C17" i="1"/>
  <c r="E21" i="2"/>
  <c r="B8" i="5"/>
  <c r="B17" i="6" s="1"/>
  <c r="F40" i="2"/>
  <c r="C42" i="2"/>
  <c r="B3" i="7"/>
  <c r="B26" i="2" l="1"/>
  <c r="C6" i="3"/>
  <c r="C16" i="3" s="1"/>
  <c r="B6" i="3"/>
  <c r="B16" i="3" s="1"/>
  <c r="F17" i="1"/>
  <c r="D19" i="1"/>
  <c r="C19" i="1"/>
  <c r="E17" i="1"/>
  <c r="F42" i="2"/>
  <c r="B55" i="6" l="1"/>
  <c r="B18" i="3"/>
  <c r="C18" i="3"/>
  <c r="B6" i="7" s="1"/>
  <c r="C55" i="6"/>
  <c r="B44" i="2"/>
  <c r="B45" i="2" s="1"/>
  <c r="C13" i="5"/>
  <c r="D20" i="1"/>
  <c r="C8" i="6" s="1"/>
  <c r="F19" i="1"/>
  <c r="E19" i="1"/>
  <c r="C20" i="1"/>
  <c r="B8" i="6" s="1"/>
  <c r="B13" i="5"/>
  <c r="C25" i="2"/>
  <c r="C57" i="6" l="1"/>
  <c r="C21" i="3"/>
  <c r="C58" i="6" s="1"/>
  <c r="B57" i="6"/>
  <c r="B21" i="3"/>
  <c r="B58" i="6" s="1"/>
  <c r="F25" i="2"/>
  <c r="C26" i="2"/>
  <c r="D25" i="2"/>
  <c r="E25" i="2" l="1"/>
  <c r="D26" i="2"/>
  <c r="F26" i="2"/>
  <c r="F44" i="2" s="1"/>
  <c r="B22" i="5"/>
  <c r="B18" i="6" s="1"/>
  <c r="B23" i="5"/>
  <c r="B19" i="6" s="1"/>
  <c r="B14" i="5"/>
  <c r="B9" i="6" s="1"/>
  <c r="C44" i="2"/>
  <c r="C45" i="2" s="1"/>
  <c r="B15" i="5"/>
  <c r="B10" i="6" s="1"/>
  <c r="C15" i="5"/>
  <c r="C10" i="6" s="1"/>
  <c r="E26" i="2" l="1"/>
  <c r="E44" i="2" s="1"/>
  <c r="C22" i="5"/>
  <c r="C23" i="5"/>
  <c r="C19" i="6" s="1"/>
  <c r="C14" i="5"/>
  <c r="D44" i="2"/>
  <c r="D45" i="2" s="1"/>
  <c r="C9" i="6" l="1"/>
  <c r="B4" i="7"/>
  <c r="C18" i="6"/>
  <c r="B5" i="7"/>
  <c r="B9" i="7" l="1"/>
  <c r="B11" i="7" s="1"/>
  <c r="A14" i="7" s="1"/>
</calcChain>
</file>

<file path=xl/sharedStrings.xml><?xml version="1.0" encoding="utf-8"?>
<sst xmlns="http://schemas.openxmlformats.org/spreadsheetml/2006/main" count="290" uniqueCount="247">
  <si>
    <t xml:space="preserve">Statement of Profit &amp; Loss </t>
  </si>
  <si>
    <t>Particulars</t>
  </si>
  <si>
    <t>FY1</t>
  </si>
  <si>
    <t>FY2</t>
  </si>
  <si>
    <t>FY3</t>
  </si>
  <si>
    <t>YOY Growth 
(FY2 Vs Y1)</t>
  </si>
  <si>
    <t>YOY Growth 
(Y3 Vs Y2)</t>
  </si>
  <si>
    <t>Revenue from Operations</t>
  </si>
  <si>
    <t>Other Operating Revenue</t>
  </si>
  <si>
    <t>Total Revenue (I)</t>
  </si>
  <si>
    <t>Direct Material/Service Cost</t>
  </si>
  <si>
    <t>Employee Cost</t>
  </si>
  <si>
    <t>Other Operating Expenses</t>
  </si>
  <si>
    <t>Total Expenses (II)</t>
  </si>
  <si>
    <t>EBITDA</t>
  </si>
  <si>
    <t>EBITDA %</t>
  </si>
  <si>
    <t>Depreciation</t>
  </si>
  <si>
    <t>EBIT</t>
  </si>
  <si>
    <t>Add: Other Income</t>
  </si>
  <si>
    <t>Less: Finance Cost</t>
  </si>
  <si>
    <t>Profit before tax (PBT)</t>
  </si>
  <si>
    <t>Tax Expense</t>
  </si>
  <si>
    <t>Profit After Tax</t>
  </si>
  <si>
    <t>Net Profit Margin %</t>
  </si>
  <si>
    <t>Balance Sheet</t>
  </si>
  <si>
    <t>FY3 Vs FY 2 Changes</t>
  </si>
  <si>
    <t>FY2 Vs FY1 Changes</t>
  </si>
  <si>
    <t>ASSETS</t>
  </si>
  <si>
    <t>Non-Current Assets</t>
  </si>
  <si>
    <t>PPE</t>
  </si>
  <si>
    <t>Non-Current Investment</t>
  </si>
  <si>
    <t>Other Non-Current Assets</t>
  </si>
  <si>
    <t>Deferred tax Assets</t>
  </si>
  <si>
    <t xml:space="preserve"> Non-current tax assets (net)</t>
  </si>
  <si>
    <t>Total Non-Current Assets</t>
  </si>
  <si>
    <t>Current Assets</t>
  </si>
  <si>
    <t>Inventories</t>
  </si>
  <si>
    <t>Current Investment</t>
  </si>
  <si>
    <t>Trade Receivables</t>
  </si>
  <si>
    <t>Cash &amp; Bank</t>
  </si>
  <si>
    <t>Other Current Assets</t>
  </si>
  <si>
    <t>Total Current Assets</t>
  </si>
  <si>
    <t>Total Assets</t>
  </si>
  <si>
    <t>EQUITY &amp; LIABILITIES</t>
  </si>
  <si>
    <t>Equity Share Capital</t>
  </si>
  <si>
    <t>Retained Earnings</t>
  </si>
  <si>
    <t>Total Equity</t>
  </si>
  <si>
    <t>Non-Current Liabilities</t>
  </si>
  <si>
    <t>Long-Term Borrowings</t>
  </si>
  <si>
    <t>Long Term Provision</t>
  </si>
  <si>
    <t>Deferred tax Liabilities</t>
  </si>
  <si>
    <t>Total Non-Current Liabilities</t>
  </si>
  <si>
    <t>Current Liabilities</t>
  </si>
  <si>
    <t>Short-Term Borrowings</t>
  </si>
  <si>
    <t>Trade Payables</t>
  </si>
  <si>
    <t>Other Current Liabilities</t>
  </si>
  <si>
    <t>Liabilities for Income Tax</t>
  </si>
  <si>
    <t>Short Term Provision</t>
  </si>
  <si>
    <t>Total Current Liabilities</t>
  </si>
  <si>
    <t>Total Liabilities</t>
  </si>
  <si>
    <t>Total Equity &amp; Liabilities</t>
  </si>
  <si>
    <t>Check</t>
  </si>
  <si>
    <t>Free Cash Flow for Firm</t>
  </si>
  <si>
    <t>Tax On EBIT (Assume 25% Rate)</t>
  </si>
  <si>
    <t>Add: Depreciation</t>
  </si>
  <si>
    <t>Changes In Working-Capital</t>
  </si>
  <si>
    <t>(Increase)/Decrease in Inventories</t>
  </si>
  <si>
    <t>(Increase)/Decrease  in Trade Receivables</t>
  </si>
  <si>
    <t>(Increase)/Decrease in Other Current Assets</t>
  </si>
  <si>
    <t>(Decrease)/Increase in Trade Payable</t>
  </si>
  <si>
    <t>(Decrease)/Increase in other Current Liabilites</t>
  </si>
  <si>
    <t>(Decrease)/Increase in Short term Operating Provision</t>
  </si>
  <si>
    <t>Free Operating Cash Flow for Firm</t>
  </si>
  <si>
    <t>CAPEX (Gross)</t>
  </si>
  <si>
    <t>Less: Interest X (1-Tax rate)</t>
  </si>
  <si>
    <t>Add: Net Borrowing (Increase in Debt)</t>
  </si>
  <si>
    <t>Free Cash flow to Equity</t>
  </si>
  <si>
    <t xml:space="preserve">Working Capital Metrics </t>
  </si>
  <si>
    <t>KPI</t>
  </si>
  <si>
    <t>Result
FY 2</t>
  </si>
  <si>
    <t>Result 
FY 3</t>
  </si>
  <si>
    <t>Formula Structure (You Link)</t>
  </si>
  <si>
    <t>Ideal Range</t>
  </si>
  <si>
    <t>What It Measures / Interpretation</t>
  </si>
  <si>
    <t>DSO (Days Sales Outstanding)</t>
  </si>
  <si>
    <t>((Avg Receivables) / Revenue) * 365</t>
  </si>
  <si>
    <t>&lt;45 Strong | 45-75 Normal | &gt;90 Stress</t>
  </si>
  <si>
    <t>Measures average collection period from customers.</t>
  </si>
  <si>
    <t>Inventory Days</t>
  </si>
  <si>
    <t>((Avg Inventory) / COGS) * 365</t>
  </si>
  <si>
    <t>&lt;40 Efficient | 40-70 Moderate | &gt;90 Slow moving</t>
  </si>
  <si>
    <t>Measures how long inventory remains unsold.</t>
  </si>
  <si>
    <t>DPO (Days Payable Outstanding)</t>
  </si>
  <si>
    <t>((Avg Payables) / COGS) * 365</t>
  </si>
  <si>
    <t>30-60 Normal | Higher improves liquidity</t>
  </si>
  <si>
    <t>Measures average payment period to suppliers.</t>
  </si>
  <si>
    <t>Cash Conversion Cycle (CCC)</t>
  </si>
  <si>
    <t>DSO + Inventory Days - DPO</t>
  </si>
  <si>
    <t>&lt;60 Healthy | &gt;90 Cash pressure</t>
  </si>
  <si>
    <t>Measures net days cash is blocked in operations.</t>
  </si>
  <si>
    <t>Net Working Capital %</t>
  </si>
  <si>
    <t>(Current Assets - Current Liabilities) / Revenue.Excluding  Cash and cash equivalent and Borrowings</t>
  </si>
  <si>
    <t>10-20% typical SME range</t>
  </si>
  <si>
    <t>Measures working capital intensity relative to revenue.</t>
  </si>
  <si>
    <t>Financial Ratio Analysis (Structured - Board Level)</t>
  </si>
  <si>
    <t>Ideal Benchmark</t>
  </si>
  <si>
    <t>A. Liquidity Ratios</t>
  </si>
  <si>
    <t>Current Ratio</t>
  </si>
  <si>
    <t>Current Assets / Current Liabilities</t>
  </si>
  <si>
    <t>1.5 – 2.5 Healthy</t>
  </si>
  <si>
    <t>Measures short-term solvency and ability to meet obligations.</t>
  </si>
  <si>
    <t>Quick Ratio</t>
  </si>
  <si>
    <t>(Current Assets - Inventory) / Current Liabilities</t>
  </si>
  <si>
    <t>&gt;1 Preferred</t>
  </si>
  <si>
    <t>Measures immediate liquidity excluding inventory reliance.</t>
  </si>
  <si>
    <t>Cash Ratio</t>
  </si>
  <si>
    <t>Cash &amp; Cash Equivalents / Current Liabilities</t>
  </si>
  <si>
    <t>0.2 – 0.5 Normal</t>
  </si>
  <si>
    <t>Measures immediate cash strength to meet liabilities.</t>
  </si>
  <si>
    <t>B. Profitability Ratios</t>
  </si>
  <si>
    <t>Gross Margin %</t>
  </si>
  <si>
    <t>Gross Profit / Revenue</t>
  </si>
  <si>
    <t>Industry Dependent</t>
  </si>
  <si>
    <t>Measures core production profitability.</t>
  </si>
  <si>
    <t>EBITDA Margin %</t>
  </si>
  <si>
    <t>EBITDA / Revenue</t>
  </si>
  <si>
    <t>Higher is Better</t>
  </si>
  <si>
    <t>Measures operating profitability before non-cash &amp; financing effects.</t>
  </si>
  <si>
    <t>EBIT Margin %</t>
  </si>
  <si>
    <t>EBIT / Revenue</t>
  </si>
  <si>
    <t>Measures operating profitability after depreciation.</t>
  </si>
  <si>
    <t>PAT / Revenue</t>
  </si>
  <si>
    <t>5–20% SME Typical</t>
  </si>
  <si>
    <t>Measures overall profitability after tax.</t>
  </si>
  <si>
    <t>ROCE %</t>
  </si>
  <si>
    <t>EBIT / Capital Employed. i.e Equity plus Long term Debt</t>
  </si>
  <si>
    <t>&gt;15% Strong</t>
  </si>
  <si>
    <t>Measures return generated on total capital deployed.</t>
  </si>
  <si>
    <t>ROE %</t>
  </si>
  <si>
    <t>PAT / Average Equity</t>
  </si>
  <si>
    <t>Measures return generated for shareholders.</t>
  </si>
  <si>
    <t>C. Turnover / Efficiency Ratios</t>
  </si>
  <si>
    <t>Asset Turnover</t>
  </si>
  <si>
    <t>Revenue / Total Assets</t>
  </si>
  <si>
    <t>Higher is Efficient</t>
  </si>
  <si>
    <t>Measures asset utilization efficiency.</t>
  </si>
  <si>
    <t>Debtor Turnover</t>
  </si>
  <si>
    <t>Revenue / Average Trade Receivables</t>
  </si>
  <si>
    <t>Measures collection efficiency.</t>
  </si>
  <si>
    <t>Inventory Turnover</t>
  </si>
  <si>
    <t>COGS / Average Inventory</t>
  </si>
  <si>
    <t>Measures inventory movement efficiency.</t>
  </si>
  <si>
    <t>Creditor Turnover</t>
  </si>
  <si>
    <t>COGS / Average Trade Payables</t>
  </si>
  <si>
    <t>Balanced Level</t>
  </si>
  <si>
    <t>Measures supplier payment cycle efficiency.</t>
  </si>
  <si>
    <t>D. Leverage / Capital Structure Ratios</t>
  </si>
  <si>
    <t>Debt to Equity</t>
  </si>
  <si>
    <t>Total Debt / Equity</t>
  </si>
  <si>
    <t>&lt;1 Conservative</t>
  </si>
  <si>
    <t>Measures financial leverage level.</t>
  </si>
  <si>
    <t>Total Liabilities to Tangible Net Worth (TNW)</t>
  </si>
  <si>
    <t>Total Outside Liabilities / Tangible Net Worth</t>
  </si>
  <si>
    <t>&lt;3 Preferred</t>
  </si>
  <si>
    <t>Measures overall financial risk relative to tangible capital.</t>
  </si>
  <si>
    <t>Net Debt to EBITDA</t>
  </si>
  <si>
    <t>(Total Debt - Cash) / EBITDA</t>
  </si>
  <si>
    <t>&lt;2 Strong | 2–3 Moderate | &gt;4 Risky</t>
  </si>
  <si>
    <t>Measures debt burden relative to operating earnings.</t>
  </si>
  <si>
    <t>Interest Coverage Ratio</t>
  </si>
  <si>
    <t>EBIT / Interest Expense</t>
  </si>
  <si>
    <t>&gt;3 Comfortable</t>
  </si>
  <si>
    <t>Measures ability to service interest obligations.</t>
  </si>
  <si>
    <t>Debt Service Coverage Ratio (DSCR)</t>
  </si>
  <si>
    <t>EBITDA / (Interest + Principal Repayment)</t>
  </si>
  <si>
    <t>&gt;1.2 Healthy</t>
  </si>
  <si>
    <t>Measures ability to service total debt commitments.</t>
  </si>
  <si>
    <t xml:space="preserve">Executive Financial Dashboard </t>
  </si>
  <si>
    <t>1. Snapshot KPIs</t>
  </si>
  <si>
    <t>Revenue Growth %</t>
  </si>
  <si>
    <t>2. Liquidity &amp; Leverage</t>
  </si>
  <si>
    <t>TOL/TNW</t>
  </si>
  <si>
    <t>3. Working Capital Efficiency</t>
  </si>
  <si>
    <t>DSO (Days)</t>
  </si>
  <si>
    <t>DPO (Days)</t>
  </si>
  <si>
    <t>Cash Conversion Cycle</t>
  </si>
  <si>
    <t>4. Revene &amp; Cash Flow Summary</t>
  </si>
  <si>
    <t>Revenue</t>
  </si>
  <si>
    <t>Operating Cash Flow</t>
  </si>
  <si>
    <t>CAPEX</t>
  </si>
  <si>
    <t>FCFF</t>
  </si>
  <si>
    <t>FCFE</t>
  </si>
  <si>
    <t>Net Debt</t>
  </si>
  <si>
    <t>AI Financial Health Engine (Fully Automated)</t>
  </si>
  <si>
    <t>Liquidity Score</t>
  </si>
  <si>
    <t>Profitability Score</t>
  </si>
  <si>
    <t>Leverage Score</t>
  </si>
  <si>
    <t>Cash Flow Score</t>
  </si>
  <si>
    <t>Working Capital Score</t>
  </si>
  <si>
    <t>Overall Health Score (Out of 25)</t>
  </si>
  <si>
    <t>Health Classification</t>
  </si>
  <si>
    <t>AI Executive Summary</t>
  </si>
  <si>
    <t>Formula Structure</t>
  </si>
  <si>
    <t>Score</t>
  </si>
  <si>
    <t>Score Card</t>
  </si>
  <si>
    <t>📌 How to Use This Model</t>
  </si>
  <si>
    <t>3. Do not edit any formula cells.</t>
  </si>
  <si>
    <t>Once P&amp;L and Balance Sheet data are filled correctly, the model will automatically generate:</t>
  </si>
  <si>
    <t>Free Cash Flow (FCFF &amp; FCFE)</t>
  </si>
  <si>
    <t>Working Capital analysis (DSO, CCC, NWC%)</t>
  </si>
  <si>
    <t>Financial ratios (Liquidity, Profitability, Leverage, Turnover)</t>
  </si>
  <si>
    <t>AI-based Financial Health Score (out of 25)</t>
  </si>
  <si>
    <t>Risk classification (Strong / Stable / Moderate / High Risk / Critical)</t>
  </si>
  <si>
    <t>Executive financial summary ready for presentation</t>
  </si>
  <si>
    <t>Just fill the financial statements — everything else runs automatically.</t>
  </si>
  <si>
    <r>
      <t xml:space="preserve">1. Go to </t>
    </r>
    <r>
      <rPr>
        <b/>
        <sz val="11"/>
        <color theme="1"/>
        <rFont val="Times New Roman"/>
        <family val="1"/>
      </rPr>
      <t>PL_3Y_SME</t>
    </r>
    <r>
      <rPr>
        <sz val="11"/>
        <color theme="1"/>
        <rFont val="Times New Roman"/>
        <family val="1"/>
      </rPr>
      <t xml:space="preserve"> sheet and enter your Profit &amp; Loss figures.</t>
    </r>
  </si>
  <si>
    <r>
      <t xml:space="preserve">2. Go to </t>
    </r>
    <r>
      <rPr>
        <b/>
        <sz val="11"/>
        <color theme="1"/>
        <rFont val="Times New Roman"/>
        <family val="1"/>
      </rPr>
      <t>BS_3Y_SME</t>
    </r>
    <r>
      <rPr>
        <sz val="11"/>
        <color theme="1"/>
        <rFont val="Times New Roman"/>
        <family val="1"/>
      </rPr>
      <t xml:space="preserve"> sheet and enter your Balance Sheet figures.</t>
    </r>
  </si>
  <si>
    <t>camsroy.com</t>
  </si>
  <si>
    <t>Camsroy.com</t>
  </si>
  <si>
    <t>AI Financial Health Analysis Prompt</t>
  </si>
  <si>
    <t>You are a professional CFO and financial analyst.</t>
  </si>
  <si>
    <t>Based on the following financial health scores and key metrics:</t>
  </si>
  <si>
    <t>Liquidity Score: [Cell Reference]</t>
  </si>
  <si>
    <t>Profitability Score: [Cell Reference]</t>
  </si>
  <si>
    <t>Leverage Score: [Cell Reference]</t>
  </si>
  <si>
    <t>Cash Flow Score: [Cell Reference]</t>
  </si>
  <si>
    <t>Working Capital Score: [Cell Reference]</t>
  </si>
  <si>
    <t>Overall Health Score: [Cell Reference]</t>
  </si>
  <si>
    <t>Key Ratios:</t>
  </si>
  <si>
    <t>Current Ratio: [Value]</t>
  </si>
  <si>
    <t>Debt to Equity: [Value]</t>
  </si>
  <si>
    <t>Net Debt to EBITDA: [Value]</t>
  </si>
  <si>
    <t>ROCE: [Value]</t>
  </si>
  <si>
    <t>ROE: [Value]</t>
  </si>
  <si>
    <t>Cash Conversion Cycle: [Value]</t>
  </si>
  <si>
    <t>Free Cash Flow: [Value]</t>
  </si>
  <si>
    <t>Write a 150-word executive financial health summary.</t>
  </si>
  <si>
    <t>Your analysis should:</t>
  </si>
  <si>
    <t>Tone: Professional, neutral, board-level.</t>
  </si>
  <si>
    <t>Avoid exaggeration.</t>
  </si>
  <si>
    <t>Be data-driven.</t>
  </si>
  <si>
    <t>- Identify major risks</t>
  </si>
  <si>
    <t>- Highlight financial strengths</t>
  </si>
  <si>
    <t>- Comment on leverage sustainability</t>
  </si>
  <si>
    <t>- Evaluate working capital efficiency</t>
  </si>
  <si>
    <t>- Assess cash flow stability</t>
  </si>
  <si>
    <t>- Conclude with overall business financial 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</si>
</sst>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0"/>
      <name val="Times New Roman"/>
      <family val="1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4"/>
      <color theme="0"/>
      <name val="Times New Roman"/>
      <family val="1"/>
    </font>
    <font>
      <b/>
      <sz val="11"/>
      <name val="Times New Roman"/>
      <family val="1"/>
    </font>
    <font>
      <sz val="11"/>
      <color theme="0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2"/>
      <color theme="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0"/>
      <name val="Times New Roman"/>
      <family val="1"/>
    </font>
    <font>
      <b/>
      <sz val="16"/>
      <color theme="0"/>
      <name val="Times New Roman"/>
      <family val="1"/>
    </font>
    <font>
      <b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</fonts>
  <fills count="1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/>
    <xf numFmtId="9" fontId="1" fillId="0" borderId="0"/>
  </cellStyleXfs>
  <cellXfs count="93">
    <xf numFmtId="0" fontId="0" fillId="0" borderId="0" xfId="0"/>
    <xf numFmtId="0" fontId="3" fillId="3" borderId="1" xfId="0" applyFont="1" applyFill="1" applyBorder="1"/>
    <xf numFmtId="0" fontId="4" fillId="0" borderId="1" xfId="0" applyFont="1" applyBorder="1"/>
    <xf numFmtId="0" fontId="7" fillId="3" borderId="0" xfId="0" applyFont="1" applyFill="1"/>
    <xf numFmtId="0" fontId="4" fillId="0" borderId="0" xfId="0" applyFont="1"/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9" fillId="3" borderId="0" xfId="0" applyFont="1" applyFill="1"/>
    <xf numFmtId="0" fontId="10" fillId="0" borderId="1" xfId="0" applyFont="1" applyBorder="1"/>
    <xf numFmtId="164" fontId="4" fillId="0" borderId="1" xfId="1" applyNumberFormat="1" applyFont="1" applyBorder="1" applyAlignment="1">
      <alignment horizontal="center"/>
    </xf>
    <xf numFmtId="164" fontId="3" fillId="3" borderId="1" xfId="1" applyNumberFormat="1" applyFont="1" applyFill="1" applyBorder="1" applyAlignment="1">
      <alignment horizontal="center"/>
    </xf>
    <xf numFmtId="0" fontId="7" fillId="3" borderId="1" xfId="0" applyFont="1" applyFill="1" applyBorder="1"/>
    <xf numFmtId="0" fontId="9" fillId="3" borderId="1" xfId="0" applyFont="1" applyFill="1" applyBorder="1"/>
    <xf numFmtId="0" fontId="10" fillId="8" borderId="1" xfId="0" applyFont="1" applyFill="1" applyBorder="1"/>
    <xf numFmtId="164" fontId="10" fillId="8" borderId="1" xfId="1" applyNumberFormat="1" applyFont="1" applyFill="1" applyBorder="1" applyAlignment="1">
      <alignment horizontal="center"/>
    </xf>
    <xf numFmtId="164" fontId="4" fillId="0" borderId="0" xfId="1" applyNumberFormat="1" applyFont="1" applyAlignment="1">
      <alignment horizontal="center"/>
    </xf>
    <xf numFmtId="0" fontId="10" fillId="5" borderId="1" xfId="0" applyFont="1" applyFill="1" applyBorder="1"/>
    <xf numFmtId="164" fontId="10" fillId="5" borderId="1" xfId="1" applyNumberFormat="1" applyFont="1" applyFill="1" applyBorder="1" applyAlignment="1">
      <alignment horizontal="center"/>
    </xf>
    <xf numFmtId="164" fontId="4" fillId="0" borderId="0" xfId="1" applyNumberFormat="1" applyFont="1"/>
    <xf numFmtId="0" fontId="12" fillId="3" borderId="1" xfId="0" applyFont="1" applyFill="1" applyBorder="1" applyAlignment="1">
      <alignment vertical="center"/>
    </xf>
    <xf numFmtId="0" fontId="13" fillId="6" borderId="1" xfId="0" applyFont="1" applyFill="1" applyBorder="1" applyAlignment="1">
      <alignment vertical="center"/>
    </xf>
    <xf numFmtId="0" fontId="13" fillId="6" borderId="1" xfId="0" applyFont="1" applyFill="1" applyBorder="1" applyAlignment="1">
      <alignment horizontal="center" vertical="center"/>
    </xf>
    <xf numFmtId="9" fontId="13" fillId="0" borderId="1" xfId="2" applyFont="1" applyBorder="1" applyAlignment="1">
      <alignment horizontal="center" vertical="center"/>
    </xf>
    <xf numFmtId="0" fontId="14" fillId="7" borderId="1" xfId="0" applyFont="1" applyFill="1" applyBorder="1" applyAlignment="1">
      <alignment vertical="center"/>
    </xf>
    <xf numFmtId="0" fontId="14" fillId="7" borderId="1" xfId="0" applyFont="1" applyFill="1" applyBorder="1" applyAlignment="1">
      <alignment horizontal="center" vertical="center"/>
    </xf>
    <xf numFmtId="9" fontId="13" fillId="4" borderId="1" xfId="2" applyFont="1" applyFill="1" applyBorder="1" applyAlignment="1">
      <alignment horizontal="center" vertical="center"/>
    </xf>
    <xf numFmtId="9" fontId="13" fillId="2" borderId="1" xfId="2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9" fontId="12" fillId="3" borderId="1" xfId="2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vertical="center"/>
    </xf>
    <xf numFmtId="0" fontId="14" fillId="5" borderId="1" xfId="0" applyFont="1" applyFill="1" applyBorder="1" applyAlignment="1">
      <alignment horizontal="center" vertical="center"/>
    </xf>
    <xf numFmtId="9" fontId="13" fillId="5" borderId="1" xfId="2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vertical="center"/>
    </xf>
    <xf numFmtId="0" fontId="15" fillId="5" borderId="1" xfId="0" applyFont="1" applyFill="1" applyBorder="1" applyAlignment="1">
      <alignment horizontal="center" vertical="center"/>
    </xf>
    <xf numFmtId="9" fontId="16" fillId="3" borderId="1" xfId="2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2" fillId="10" borderId="1" xfId="0" applyFont="1" applyFill="1" applyBorder="1" applyAlignment="1">
      <alignment vertical="center" wrapText="1"/>
    </xf>
    <xf numFmtId="0" fontId="3" fillId="10" borderId="1" xfId="0" applyFont="1" applyFill="1" applyBorder="1" applyAlignment="1">
      <alignment horizontal="center" vertical="center" wrapText="1"/>
    </xf>
    <xf numFmtId="164" fontId="4" fillId="9" borderId="1" xfId="1" applyNumberFormat="1" applyFont="1" applyFill="1" applyBorder="1" applyAlignment="1">
      <alignment horizontal="center"/>
    </xf>
    <xf numFmtId="164" fontId="10" fillId="9" borderId="1" xfId="1" applyNumberFormat="1" applyFont="1" applyFill="1" applyBorder="1" applyAlignment="1">
      <alignment horizontal="center"/>
    </xf>
    <xf numFmtId="0" fontId="10" fillId="0" borderId="0" xfId="0" applyFont="1"/>
    <xf numFmtId="0" fontId="19" fillId="0" borderId="0" xfId="0" applyFont="1" applyAlignment="1">
      <alignment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 applyProtection="1">
      <protection locked="0"/>
    </xf>
    <xf numFmtId="0" fontId="0" fillId="0" borderId="0" xfId="0" applyProtection="1">
      <protection locked="0"/>
    </xf>
    <xf numFmtId="0" fontId="3" fillId="3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/>
    </xf>
    <xf numFmtId="1" fontId="4" fillId="2" borderId="1" xfId="1" applyNumberFormat="1" applyFont="1" applyFill="1" applyBorder="1" applyAlignment="1">
      <alignment horizontal="center"/>
    </xf>
    <xf numFmtId="0" fontId="4" fillId="0" borderId="1" xfId="0" applyFont="1" applyBorder="1" applyAlignment="1">
      <alignment vertical="center"/>
    </xf>
    <xf numFmtId="9" fontId="4" fillId="2" borderId="1" xfId="2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/>
    </xf>
    <xf numFmtId="165" fontId="10" fillId="0" borderId="1" xfId="1" applyNumberFormat="1" applyFont="1" applyBorder="1" applyAlignment="1">
      <alignment horizontal="center"/>
    </xf>
    <xf numFmtId="165" fontId="4" fillId="0" borderId="1" xfId="1" applyNumberFormat="1" applyFont="1" applyBorder="1" applyAlignment="1">
      <alignment horizontal="center"/>
    </xf>
    <xf numFmtId="0" fontId="10" fillId="4" borderId="1" xfId="0" applyFont="1" applyFill="1" applyBorder="1"/>
    <xf numFmtId="0" fontId="4" fillId="0" borderId="1" xfId="0" applyFont="1" applyBorder="1" applyAlignment="1">
      <alignment horizontal="left" indent="1"/>
    </xf>
    <xf numFmtId="165" fontId="3" fillId="3" borderId="1" xfId="1" applyNumberFormat="1" applyFont="1" applyFill="1" applyBorder="1" applyAlignment="1">
      <alignment horizontal="center"/>
    </xf>
    <xf numFmtId="0" fontId="11" fillId="6" borderId="1" xfId="0" applyFont="1" applyFill="1" applyBorder="1"/>
    <xf numFmtId="165" fontId="3" fillId="3" borderId="1" xfId="0" applyNumberFormat="1" applyFont="1" applyFill="1" applyBorder="1" applyAlignment="1">
      <alignment horizontal="center"/>
    </xf>
    <xf numFmtId="9" fontId="0" fillId="0" borderId="0" xfId="2" applyFont="1" applyProtection="1">
      <protection locked="0"/>
    </xf>
    <xf numFmtId="0" fontId="8" fillId="9" borderId="1" xfId="0" applyFont="1" applyFill="1" applyBorder="1" applyAlignment="1">
      <alignment vertical="center"/>
    </xf>
    <xf numFmtId="0" fontId="4" fillId="9" borderId="1" xfId="0" applyFont="1" applyFill="1" applyBorder="1" applyAlignment="1">
      <alignment vertical="center"/>
    </xf>
    <xf numFmtId="2" fontId="4" fillId="2" borderId="1" xfId="1" applyNumberFormat="1" applyFont="1" applyFill="1" applyBorder="1" applyAlignment="1">
      <alignment horizontal="center" vertical="center"/>
    </xf>
    <xf numFmtId="9" fontId="4" fillId="11" borderId="1" xfId="2" applyFont="1" applyFill="1" applyBorder="1" applyAlignment="1">
      <alignment horizontal="center" vertical="center"/>
    </xf>
    <xf numFmtId="2" fontId="4" fillId="12" borderId="1" xfId="1" applyNumberFormat="1" applyFont="1" applyFill="1" applyBorder="1" applyAlignment="1">
      <alignment horizontal="center" vertical="center"/>
    </xf>
    <xf numFmtId="2" fontId="4" fillId="13" borderId="1" xfId="1" applyNumberFormat="1" applyFont="1" applyFill="1" applyBorder="1" applyAlignment="1">
      <alignment horizontal="center" vertical="center"/>
    </xf>
    <xf numFmtId="2" fontId="4" fillId="13" borderId="1" xfId="0" applyNumberFormat="1" applyFont="1" applyFill="1" applyBorder="1" applyAlignment="1">
      <alignment horizontal="center" vertical="center"/>
    </xf>
    <xf numFmtId="0" fontId="9" fillId="6" borderId="0" xfId="0" applyFont="1" applyFill="1"/>
    <xf numFmtId="0" fontId="2" fillId="3" borderId="1" xfId="0" applyFont="1" applyFill="1" applyBorder="1"/>
    <xf numFmtId="9" fontId="4" fillId="7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165" fontId="4" fillId="14" borderId="1" xfId="0" applyNumberFormat="1" applyFont="1" applyFill="1" applyBorder="1" applyAlignment="1">
      <alignment horizontal="center"/>
    </xf>
    <xf numFmtId="1" fontId="4" fillId="15" borderId="1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/>
    </xf>
    <xf numFmtId="165" fontId="4" fillId="16" borderId="1" xfId="0" applyNumberFormat="1" applyFont="1" applyFill="1" applyBorder="1" applyAlignment="1">
      <alignment horizontal="center"/>
    </xf>
    <xf numFmtId="0" fontId="6" fillId="0" borderId="1" xfId="0" applyFont="1" applyBorder="1"/>
    <xf numFmtId="1" fontId="6" fillId="0" borderId="1" xfId="0" applyNumberFormat="1" applyFont="1" applyBorder="1" applyAlignment="1">
      <alignment horizontal="center"/>
    </xf>
    <xf numFmtId="0" fontId="5" fillId="0" borderId="1" xfId="0" applyFont="1" applyBorder="1"/>
    <xf numFmtId="1" fontId="4" fillId="9" borderId="1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8" fillId="0" borderId="0" xfId="0" applyFont="1" applyProtection="1">
      <protection locked="0"/>
    </xf>
    <xf numFmtId="0" fontId="0" fillId="0" borderId="0" xfId="0" quotePrefix="1" applyProtection="1">
      <protection locked="0"/>
    </xf>
    <xf numFmtId="0" fontId="4" fillId="3" borderId="0" xfId="0" applyFont="1" applyFill="1"/>
    <xf numFmtId="0" fontId="10" fillId="17" borderId="1" xfId="0" applyFont="1" applyFill="1" applyBorder="1"/>
    <xf numFmtId="0" fontId="10" fillId="17" borderId="1" xfId="0" applyFont="1" applyFill="1" applyBorder="1" applyAlignment="1">
      <alignment horizontal="center"/>
    </xf>
    <xf numFmtId="0" fontId="8" fillId="0" borderId="1" xfId="0" applyFont="1" applyBorder="1"/>
    <xf numFmtId="0" fontId="4" fillId="0" borderId="0" xfId="0" applyFont="1" applyAlignment="1">
      <alignment horizontal="center"/>
    </xf>
    <xf numFmtId="0" fontId="8" fillId="0" borderId="0" xfId="0" applyFont="1"/>
    <xf numFmtId="0" fontId="4" fillId="0" borderId="0" xfId="0" applyFont="1" applyAlignment="1">
      <alignment wrapText="1"/>
    </xf>
    <xf numFmtId="0" fontId="17" fillId="3" borderId="0" xfId="0" applyFont="1" applyFill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WC</a:t>
            </a:r>
            <a:r>
              <a:rPr lang="en-US" b="1" baseline="0"/>
              <a:t> KPI</a:t>
            </a:r>
            <a:endParaRPr lang="en-US" b="1"/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WORKING_CAPITAL!$B$4</c:f>
              <c:strCache>
                <c:ptCount val="1"/>
                <c:pt idx="0">
                  <c:v>Result
FY 2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WORKING_CAPITAL!$A$5:$A$8</c:f>
              <c:strCache>
                <c:ptCount val="4"/>
                <c:pt idx="0">
                  <c:v>DSO (Days Sales Outstanding)</c:v>
                </c:pt>
                <c:pt idx="1">
                  <c:v>Inventory Days</c:v>
                </c:pt>
                <c:pt idx="2">
                  <c:v>DPO (Days Payable Outstanding)</c:v>
                </c:pt>
                <c:pt idx="3">
                  <c:v>Cash Conversion Cycle (CCC)</c:v>
                </c:pt>
              </c:strCache>
            </c:strRef>
          </c:cat>
          <c:val>
            <c:numRef>
              <c:f>WORKING_CAPITAL!$B$5:$B$8</c:f>
              <c:numCache>
                <c:formatCode>0</c:formatCode>
                <c:ptCount val="4"/>
                <c:pt idx="0">
                  <c:v>54.613466334164592</c:v>
                </c:pt>
                <c:pt idx="1">
                  <c:v>28.515625</c:v>
                </c:pt>
                <c:pt idx="2">
                  <c:v>54.521875000000001</c:v>
                </c:pt>
                <c:pt idx="3">
                  <c:v>28.607216334164598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B7-4A4F-A837-A003DBC440AC}"/>
            </c:ext>
          </c:extLst>
        </c:ser>
        <c:ser>
          <c:idx val="1"/>
          <c:order val="1"/>
          <c:tx>
            <c:strRef>
              <c:f>WORKING_CAPITAL!$C$4</c:f>
              <c:strCache>
                <c:ptCount val="1"/>
                <c:pt idx="0">
                  <c:v>Result 
FY 3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WORKING_CAPITAL!$A$5:$A$8</c:f>
              <c:strCache>
                <c:ptCount val="4"/>
                <c:pt idx="0">
                  <c:v>DSO (Days Sales Outstanding)</c:v>
                </c:pt>
                <c:pt idx="1">
                  <c:v>Inventory Days</c:v>
                </c:pt>
                <c:pt idx="2">
                  <c:v>DPO (Days Payable Outstanding)</c:v>
                </c:pt>
                <c:pt idx="3">
                  <c:v>Cash Conversion Cycle (CCC)</c:v>
                </c:pt>
              </c:strCache>
            </c:strRef>
          </c:cat>
          <c:val>
            <c:numRef>
              <c:f>WORKING_CAPITAL!$C$5:$C$8</c:f>
              <c:numCache>
                <c:formatCode>0</c:formatCode>
                <c:ptCount val="4"/>
                <c:pt idx="0">
                  <c:v>65.621254494606475</c:v>
                </c:pt>
                <c:pt idx="1">
                  <c:v>31.937499999999996</c:v>
                </c:pt>
                <c:pt idx="2">
                  <c:v>47.815000000000005</c:v>
                </c:pt>
                <c:pt idx="3">
                  <c:v>49.74375449460647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B7-4A4F-A837-A003DBC440A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3044304"/>
        <c:axId val="773043824"/>
      </c:barChart>
      <c:catAx>
        <c:axId val="773044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3043824"/>
        <c:crosses val="autoZero"/>
        <c:auto val="1"/>
        <c:lblAlgn val="ctr"/>
        <c:lblOffset val="100"/>
        <c:noMultiLvlLbl val="0"/>
      </c:catAx>
      <c:valAx>
        <c:axId val="77304382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3044304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1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KPI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Dashboard!$B$5</c:f>
              <c:strCache>
                <c:ptCount val="1"/>
                <c:pt idx="0">
                  <c:v>FY2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Dashboard!$A$6:$A$10</c:f>
              <c:strCache>
                <c:ptCount val="5"/>
                <c:pt idx="0">
                  <c:v>Revenue Growth %</c:v>
                </c:pt>
                <c:pt idx="1">
                  <c:v>EBITDA Margin %</c:v>
                </c:pt>
                <c:pt idx="2">
                  <c:v>Net Profit Margin %</c:v>
                </c:pt>
                <c:pt idx="3">
                  <c:v>ROCE %</c:v>
                </c:pt>
                <c:pt idx="4">
                  <c:v>ROE %</c:v>
                </c:pt>
              </c:strCache>
            </c:strRef>
          </c:cat>
          <c:val>
            <c:numRef>
              <c:f>Dashboard!$B$6:$B$10</c:f>
              <c:numCache>
                <c:formatCode>0%</c:formatCode>
                <c:ptCount val="5"/>
                <c:pt idx="0">
                  <c:v>1</c:v>
                </c:pt>
                <c:pt idx="1">
                  <c:v>0.16957605985037408</c:v>
                </c:pt>
                <c:pt idx="2">
                  <c:v>0.15860349127182044</c:v>
                </c:pt>
                <c:pt idx="3">
                  <c:v>5.2799195440831379E-2</c:v>
                </c:pt>
                <c:pt idx="4">
                  <c:v>8.9401180770312061E-2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24-46BB-9157-E8F742A07F94}"/>
            </c:ext>
          </c:extLst>
        </c:ser>
        <c:ser>
          <c:idx val="1"/>
          <c:order val="1"/>
          <c:tx>
            <c:strRef>
              <c:f>Dashboard!$C$5</c:f>
              <c:strCache>
                <c:ptCount val="1"/>
                <c:pt idx="0">
                  <c:v>FY3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Dashboard!$A$6:$A$10</c:f>
              <c:strCache>
                <c:ptCount val="5"/>
                <c:pt idx="0">
                  <c:v>Revenue Growth %</c:v>
                </c:pt>
                <c:pt idx="1">
                  <c:v>EBITDA Margin %</c:v>
                </c:pt>
                <c:pt idx="2">
                  <c:v>Net Profit Margin %</c:v>
                </c:pt>
                <c:pt idx="3">
                  <c:v>ROCE %</c:v>
                </c:pt>
                <c:pt idx="4">
                  <c:v>ROE %</c:v>
                </c:pt>
              </c:strCache>
            </c:strRef>
          </c:cat>
          <c:val>
            <c:numRef>
              <c:f>Dashboard!$C$6:$C$10</c:f>
              <c:numCache>
                <c:formatCode>0%</c:formatCode>
                <c:ptCount val="5"/>
                <c:pt idx="0">
                  <c:v>0.25</c:v>
                </c:pt>
                <c:pt idx="1">
                  <c:v>0.16899720335597282</c:v>
                </c:pt>
                <c:pt idx="2">
                  <c:v>0.15900918897323213</c:v>
                </c:pt>
                <c:pt idx="3">
                  <c:v>5.8973589435774312E-2</c:v>
                </c:pt>
                <c:pt idx="4">
                  <c:v>0.10859481582537517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24-46BB-9157-E8F742A07F9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0"/>
        <c:overlap val="-90"/>
        <c:axId val="1445697056"/>
        <c:axId val="1445697536"/>
      </c:barChart>
      <c:catAx>
        <c:axId val="1445697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5697536"/>
        <c:crosses val="autoZero"/>
        <c:auto val="1"/>
        <c:lblAlgn val="ctr"/>
        <c:lblOffset val="100"/>
        <c:noMultiLvlLbl val="0"/>
      </c:catAx>
      <c:valAx>
        <c:axId val="1445697536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445697056"/>
        <c:crosses val="autoZero"/>
        <c:crossBetween val="between"/>
      </c:valAx>
    </c:plotArea>
    <c:legend>
      <c:legendPos val="t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Liquidity</a:t>
            </a:r>
            <a:r>
              <a:rPr lang="en-US" b="1" baseline="0"/>
              <a:t> </a:t>
            </a:r>
            <a:r>
              <a:rPr lang="en-US" b="1"/>
              <a:t> &amp; Leverage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>
        <c:manualLayout>
          <c:layoutTarget val="inner"/>
          <c:xMode val="edge"/>
          <c:yMode val="edge"/>
          <c:x val="0.38135416504889552"/>
          <c:y val="0.20954811581837091"/>
          <c:w val="0.56874455781784672"/>
          <c:h val="0.5245004335159186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Dashboard!$B$14</c:f>
              <c:strCache>
                <c:ptCount val="1"/>
                <c:pt idx="0">
                  <c:v>FY2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cat>
            <c:strRef>
              <c:f>Dashboard!$A$15:$A$22</c:f>
              <c:strCache>
                <c:ptCount val="8"/>
                <c:pt idx="0">
                  <c:v>Current Ratio</c:v>
                </c:pt>
                <c:pt idx="1">
                  <c:v>Quick Ratio</c:v>
                </c:pt>
                <c:pt idx="2">
                  <c:v>Cash Ratio</c:v>
                </c:pt>
                <c:pt idx="3">
                  <c:v>Debt to Equity</c:v>
                </c:pt>
                <c:pt idx="4">
                  <c:v>TOL/TNW</c:v>
                </c:pt>
                <c:pt idx="5">
                  <c:v>Net Debt to EBITDA</c:v>
                </c:pt>
                <c:pt idx="6">
                  <c:v>Interest Coverage Ratio</c:v>
                </c:pt>
                <c:pt idx="7">
                  <c:v>Debt Service Coverage Ratio (DSCR)</c:v>
                </c:pt>
              </c:strCache>
            </c:strRef>
          </c:cat>
          <c:val>
            <c:numRef>
              <c:f>Dashboard!$B$15:$B$22</c:f>
              <c:numCache>
                <c:formatCode>0.0</c:formatCode>
                <c:ptCount val="8"/>
                <c:pt idx="0">
                  <c:v>0.97402597402597402</c:v>
                </c:pt>
                <c:pt idx="1">
                  <c:v>0.81168831168831168</c:v>
                </c:pt>
                <c:pt idx="2">
                  <c:v>0.34632034632034631</c:v>
                </c:pt>
                <c:pt idx="3">
                  <c:v>0.80784766301211774</c:v>
                </c:pt>
                <c:pt idx="4">
                  <c:v>0.99509521061742645</c:v>
                </c:pt>
                <c:pt idx="5">
                  <c:v>7.3529411764705879</c:v>
                </c:pt>
                <c:pt idx="6">
                  <c:v>31.5</c:v>
                </c:pt>
                <c:pt idx="7">
                  <c:v>1.6190476190476191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84-40A7-ABD5-944D8CE3E1D6}"/>
            </c:ext>
          </c:extLst>
        </c:ser>
        <c:ser>
          <c:idx val="1"/>
          <c:order val="1"/>
          <c:tx>
            <c:strRef>
              <c:f>Dashboard!$C$14</c:f>
              <c:strCache>
                <c:ptCount val="1"/>
                <c:pt idx="0">
                  <c:v>FY3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cat>
            <c:strRef>
              <c:f>Dashboard!$A$15:$A$22</c:f>
              <c:strCache>
                <c:ptCount val="8"/>
                <c:pt idx="0">
                  <c:v>Current Ratio</c:v>
                </c:pt>
                <c:pt idx="1">
                  <c:v>Quick Ratio</c:v>
                </c:pt>
                <c:pt idx="2">
                  <c:v>Cash Ratio</c:v>
                </c:pt>
                <c:pt idx="3">
                  <c:v>Debt to Equity</c:v>
                </c:pt>
                <c:pt idx="4">
                  <c:v>TOL/TNW</c:v>
                </c:pt>
                <c:pt idx="5">
                  <c:v>Net Debt to EBITDA</c:v>
                </c:pt>
                <c:pt idx="6">
                  <c:v>Interest Coverage Ratio</c:v>
                </c:pt>
                <c:pt idx="7">
                  <c:v>Debt Service Coverage Ratio (DSCR)</c:v>
                </c:pt>
              </c:strCache>
            </c:strRef>
          </c:cat>
          <c:val>
            <c:numRef>
              <c:f>Dashboard!$C$15:$C$22</c:f>
              <c:numCache>
                <c:formatCode>0.0</c:formatCode>
                <c:ptCount val="8"/>
                <c:pt idx="0">
                  <c:v>2.3509933774834435</c:v>
                </c:pt>
                <c:pt idx="1">
                  <c:v>1.9094922737306843</c:v>
                </c:pt>
                <c:pt idx="2">
                  <c:v>0.72847682119205293</c:v>
                </c:pt>
                <c:pt idx="3">
                  <c:v>0.75051759834368525</c:v>
                </c:pt>
                <c:pt idx="4">
                  <c:v>0.86206004140786752</c:v>
                </c:pt>
                <c:pt idx="5">
                  <c:v>6.1465721040189125</c:v>
                </c:pt>
                <c:pt idx="6">
                  <c:v>26.2</c:v>
                </c:pt>
                <c:pt idx="7">
                  <c:v>1.3428571428571427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284-40A7-ABD5-944D8CE3E1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708557424"/>
        <c:axId val="1708559344"/>
      </c:barChart>
      <c:catAx>
        <c:axId val="17085574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8559344"/>
        <c:crosses val="autoZero"/>
        <c:auto val="1"/>
        <c:lblAlgn val="ctr"/>
        <c:lblOffset val="100"/>
        <c:noMultiLvlLbl val="0"/>
      </c:catAx>
      <c:valAx>
        <c:axId val="1708559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8557424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WC Efficiency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Dashboard!$B$27</c:f>
              <c:strCache>
                <c:ptCount val="1"/>
                <c:pt idx="0">
                  <c:v>FY2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cat>
            <c:strRef>
              <c:f>Dashboard!$A$28:$A$31</c:f>
              <c:strCache>
                <c:ptCount val="4"/>
                <c:pt idx="0">
                  <c:v>DSO (Days)</c:v>
                </c:pt>
                <c:pt idx="1">
                  <c:v>Inventory Days</c:v>
                </c:pt>
                <c:pt idx="2">
                  <c:v>DPO (Days)</c:v>
                </c:pt>
                <c:pt idx="3">
                  <c:v>Cash Conversion Cycle</c:v>
                </c:pt>
              </c:strCache>
            </c:strRef>
          </c:cat>
          <c:val>
            <c:numRef>
              <c:f>Dashboard!$B$28:$B$31</c:f>
              <c:numCache>
                <c:formatCode>0</c:formatCode>
                <c:ptCount val="4"/>
                <c:pt idx="0">
                  <c:v>54.613466334164592</c:v>
                </c:pt>
                <c:pt idx="1">
                  <c:v>28.515625</c:v>
                </c:pt>
                <c:pt idx="2">
                  <c:v>54.521875000000001</c:v>
                </c:pt>
                <c:pt idx="3">
                  <c:v>28.607216334164598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3B-419B-815C-B8ACEF060D03}"/>
            </c:ext>
          </c:extLst>
        </c:ser>
        <c:ser>
          <c:idx val="1"/>
          <c:order val="1"/>
          <c:tx>
            <c:strRef>
              <c:f>Dashboard!$C$27</c:f>
              <c:strCache>
                <c:ptCount val="1"/>
                <c:pt idx="0">
                  <c:v>FY3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Dashboard!$A$28:$A$31</c:f>
              <c:strCache>
                <c:ptCount val="4"/>
                <c:pt idx="0">
                  <c:v>DSO (Days)</c:v>
                </c:pt>
                <c:pt idx="1">
                  <c:v>Inventory Days</c:v>
                </c:pt>
                <c:pt idx="2">
                  <c:v>DPO (Days)</c:v>
                </c:pt>
                <c:pt idx="3">
                  <c:v>Cash Conversion Cycle</c:v>
                </c:pt>
              </c:strCache>
            </c:strRef>
          </c:cat>
          <c:val>
            <c:numRef>
              <c:f>Dashboard!$C$28:$C$31</c:f>
              <c:numCache>
                <c:formatCode>0</c:formatCode>
                <c:ptCount val="4"/>
                <c:pt idx="0">
                  <c:v>65.621254494606475</c:v>
                </c:pt>
                <c:pt idx="1">
                  <c:v>31.937499999999996</c:v>
                </c:pt>
                <c:pt idx="2">
                  <c:v>47.815000000000005</c:v>
                </c:pt>
                <c:pt idx="3">
                  <c:v>49.74375449460647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A3B-419B-815C-B8ACEF060D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9"/>
        <c:overlap val="-27"/>
        <c:axId val="1443686432"/>
        <c:axId val="1443686912"/>
      </c:barChart>
      <c:catAx>
        <c:axId val="1443686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3686912"/>
        <c:crosses val="autoZero"/>
        <c:auto val="1"/>
        <c:lblAlgn val="ctr"/>
        <c:lblOffset val="100"/>
        <c:noMultiLvlLbl val="0"/>
      </c:catAx>
      <c:valAx>
        <c:axId val="1443686912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3686432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Turnover Ratio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Dashboard!$B$37</c:f>
              <c:strCache>
                <c:ptCount val="1"/>
                <c:pt idx="0">
                  <c:v>FY2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Dashboard!$A$38:$A$41</c:f>
              <c:strCache>
                <c:ptCount val="4"/>
                <c:pt idx="0">
                  <c:v>Asset Turnover</c:v>
                </c:pt>
                <c:pt idx="1">
                  <c:v>Debtor Turnover</c:v>
                </c:pt>
                <c:pt idx="2">
                  <c:v>Inventory Turnover</c:v>
                </c:pt>
                <c:pt idx="3">
                  <c:v>Creditor Turnover</c:v>
                </c:pt>
              </c:strCache>
            </c:strRef>
          </c:cat>
          <c:val>
            <c:numRef>
              <c:f>Dashboard!$B$38:$B$41</c:f>
              <c:numCache>
                <c:formatCode>0.0</c:formatCode>
                <c:ptCount val="4"/>
                <c:pt idx="0">
                  <c:v>0.28994938539407084</c:v>
                </c:pt>
                <c:pt idx="1">
                  <c:v>6.6833333333333336</c:v>
                </c:pt>
                <c:pt idx="2">
                  <c:v>12.8</c:v>
                </c:pt>
                <c:pt idx="3">
                  <c:v>6.6945606694560666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44-4274-A191-FECCCB2783C9}"/>
            </c:ext>
          </c:extLst>
        </c:ser>
        <c:ser>
          <c:idx val="1"/>
          <c:order val="1"/>
          <c:tx>
            <c:strRef>
              <c:f>Dashboard!$C$37</c:f>
              <c:strCache>
                <c:ptCount val="1"/>
                <c:pt idx="0">
                  <c:v>FY3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Dashboard!$A$38:$A$41</c:f>
              <c:strCache>
                <c:ptCount val="4"/>
                <c:pt idx="0">
                  <c:v>Asset Turnover</c:v>
                </c:pt>
                <c:pt idx="1">
                  <c:v>Debtor Turnover</c:v>
                </c:pt>
                <c:pt idx="2">
                  <c:v>Inventory Turnover</c:v>
                </c:pt>
                <c:pt idx="3">
                  <c:v>Creditor Turnover</c:v>
                </c:pt>
              </c:strCache>
            </c:strRef>
          </c:cat>
          <c:val>
            <c:numRef>
              <c:f>Dashboard!$C$38:$C$41</c:f>
              <c:numCache>
                <c:formatCode>0.0</c:formatCode>
                <c:ptCount val="4"/>
                <c:pt idx="0">
                  <c:v>0.34788047255038224</c:v>
                </c:pt>
                <c:pt idx="1">
                  <c:v>5.5622222222222222</c:v>
                </c:pt>
                <c:pt idx="2">
                  <c:v>11.428571428571429</c:v>
                </c:pt>
                <c:pt idx="3">
                  <c:v>7.6335877862595423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44-4274-A191-FECCCB2783C9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655059120"/>
        <c:axId val="1655050000"/>
      </c:barChart>
      <c:catAx>
        <c:axId val="1655059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5050000"/>
        <c:crosses val="autoZero"/>
        <c:auto val="1"/>
        <c:lblAlgn val="ctr"/>
        <c:lblOffset val="100"/>
        <c:noMultiLvlLbl val="0"/>
      </c:catAx>
      <c:valAx>
        <c:axId val="1655050000"/>
        <c:scaling>
          <c:orientation val="minMax"/>
        </c:scaling>
        <c:delete val="0"/>
        <c:axPos val="l"/>
        <c:numFmt formatCode="0.0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505912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2747987670372373"/>
          <c:y val="0.85514867603574873"/>
          <c:w val="0.13635087821814479"/>
          <c:h val="0.1256992775256397"/>
        </c:manualLayout>
      </c:layout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kumimoji="0" lang="en-US" sz="1400" b="1" i="0" strike="noStrike" kern="1200" spc="0" normalizeH="0" baseline="0" noProof="0">
                <a:ln>
                  <a:noFill/>
                  <a:prstDash val="solid"/>
                </a:ln>
                <a:solidFill>
                  <a:sysClr val="windowText" lastClr="000000">
                    <a:lumOff val="35000"/>
                    <a:lumMod val="65000"/>
                  </a:sysClr>
                </a:solidFill>
                <a:uLnTx/>
                <a:uFillTx/>
                <a:latin typeface="Calibri"/>
              </a:rPr>
              <a:t>Financial Snapshot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>
        <c:manualLayout>
          <c:layoutTarget val="inner"/>
          <c:xMode val="edge"/>
          <c:yMode val="edge"/>
          <c:x val="9.1453075407827544E-2"/>
          <c:y val="0.20811867220498781"/>
          <c:w val="0.88171929213073719"/>
          <c:h val="0.5947166538189637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Dashboard!$B$53</c:f>
              <c:strCache>
                <c:ptCount val="1"/>
                <c:pt idx="0">
                  <c:v>FY2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Dashboard!$A$54:$A$59</c:f>
              <c:strCache>
                <c:ptCount val="6"/>
                <c:pt idx="0">
                  <c:v>Revenue</c:v>
                </c:pt>
                <c:pt idx="1">
                  <c:v>Operating Cash Flow</c:v>
                </c:pt>
                <c:pt idx="2">
                  <c:v>CAPEX</c:v>
                </c:pt>
                <c:pt idx="3">
                  <c:v>FCFF</c:v>
                </c:pt>
                <c:pt idx="4">
                  <c:v>FCFE</c:v>
                </c:pt>
                <c:pt idx="5">
                  <c:v>Net Debt</c:v>
                </c:pt>
              </c:strCache>
            </c:strRef>
          </c:cat>
          <c:val>
            <c:numRef>
              <c:f>Dashboard!$B$54:$B$59</c:f>
              <c:numCache>
                <c:formatCode>0</c:formatCode>
                <c:ptCount val="6"/>
                <c:pt idx="0">
                  <c:v>2000</c:v>
                </c:pt>
                <c:pt idx="1">
                  <c:v>240.25</c:v>
                </c:pt>
                <c:pt idx="2">
                  <c:v>500</c:v>
                </c:pt>
                <c:pt idx="3">
                  <c:v>-259.75</c:v>
                </c:pt>
                <c:pt idx="4">
                  <c:v>332.75</c:v>
                </c:pt>
                <c:pt idx="5">
                  <c:v>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AB-45BC-A37D-25E152026E3F}"/>
            </c:ext>
          </c:extLst>
        </c:ser>
        <c:ser>
          <c:idx val="1"/>
          <c:order val="1"/>
          <c:tx>
            <c:strRef>
              <c:f>Dashboard!$C$53</c:f>
              <c:strCache>
                <c:ptCount val="1"/>
                <c:pt idx="0">
                  <c:v>FY3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Dashboard!$A$54:$A$59</c:f>
              <c:strCache>
                <c:ptCount val="6"/>
                <c:pt idx="0">
                  <c:v>Revenue</c:v>
                </c:pt>
                <c:pt idx="1">
                  <c:v>Operating Cash Flow</c:v>
                </c:pt>
                <c:pt idx="2">
                  <c:v>CAPEX</c:v>
                </c:pt>
                <c:pt idx="3">
                  <c:v>FCFF</c:v>
                </c:pt>
                <c:pt idx="4">
                  <c:v>FCFE</c:v>
                </c:pt>
                <c:pt idx="5">
                  <c:v>Net Debt</c:v>
                </c:pt>
              </c:strCache>
            </c:strRef>
          </c:cat>
          <c:val>
            <c:numRef>
              <c:f>Dashboard!$C$54:$C$59</c:f>
              <c:numCache>
                <c:formatCode>0</c:formatCode>
                <c:ptCount val="6"/>
                <c:pt idx="0">
                  <c:v>2500</c:v>
                </c:pt>
                <c:pt idx="1">
                  <c:v>-101.25</c:v>
                </c:pt>
                <c:pt idx="2">
                  <c:v>25</c:v>
                </c:pt>
                <c:pt idx="3">
                  <c:v>-126.25</c:v>
                </c:pt>
                <c:pt idx="4">
                  <c:v>-37.5</c:v>
                </c:pt>
                <c:pt idx="5">
                  <c:v>2600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AB-45BC-A37D-25E152026E3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0"/>
        <c:axId val="1441541520"/>
        <c:axId val="1441539120"/>
      </c:barChart>
      <c:catAx>
        <c:axId val="1441541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1539120"/>
        <c:crosses val="autoZero"/>
        <c:auto val="1"/>
        <c:lblAlgn val="ctr"/>
        <c:lblOffset val="100"/>
        <c:noMultiLvlLbl val="0"/>
      </c:catAx>
      <c:valAx>
        <c:axId val="14415391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1541520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609600</xdr:colOff>
      <xdr:row>12</xdr:row>
      <xdr:rowOff>161925</xdr:rowOff>
    </xdr:from>
    <xdr:to>
      <xdr:col>4</xdr:col>
      <xdr:colOff>1200150</xdr:colOff>
      <xdr:row>27</xdr:row>
      <xdr:rowOff>47626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0</xdr:row>
      <xdr:rowOff>66676</xdr:rowOff>
    </xdr:from>
    <xdr:to>
      <xdr:col>14</xdr:col>
      <xdr:colOff>95249</xdr:colOff>
      <xdr:row>9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523874</xdr:colOff>
      <xdr:row>9</xdr:row>
      <xdr:rowOff>171450</xdr:rowOff>
    </xdr:from>
    <xdr:to>
      <xdr:col>14</xdr:col>
      <xdr:colOff>200025</xdr:colOff>
      <xdr:row>23</xdr:row>
      <xdr:rowOff>104775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485776</xdr:colOff>
      <xdr:row>25</xdr:row>
      <xdr:rowOff>38100</xdr:rowOff>
    </xdr:from>
    <xdr:to>
      <xdr:col>14</xdr:col>
      <xdr:colOff>76200</xdr:colOff>
      <xdr:row>36</xdr:row>
      <xdr:rowOff>180975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495300</xdr:colOff>
      <xdr:row>37</xdr:row>
      <xdr:rowOff>76201</xdr:rowOff>
    </xdr:from>
    <xdr:to>
      <xdr:col>14</xdr:col>
      <xdr:colOff>142875</xdr:colOff>
      <xdr:row>49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609599</xdr:colOff>
      <xdr:row>50</xdr:row>
      <xdr:rowOff>33337</xdr:rowOff>
    </xdr:from>
    <xdr:to>
      <xdr:col>14</xdr:col>
      <xdr:colOff>152400</xdr:colOff>
      <xdr:row>59</xdr:row>
      <xdr:rowOff>57151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47961-7193-4AB4-BF21-0A73CF973597}">
  <sheetPr>
    <tabColor rgb="FFFFC000"/>
  </sheetPr>
  <dimension ref="A3:A25"/>
  <sheetViews>
    <sheetView showGridLines="0" tabSelected="1" view="pageBreakPreview" zoomScaleNormal="100" zoomScaleSheetLayoutView="100" workbookViewId="0">
      <selection activeCell="A18" sqref="A18"/>
    </sheetView>
  </sheetViews>
  <sheetFormatPr defaultRowHeight="15" x14ac:dyDescent="0.25"/>
  <cols>
    <col min="1" max="1" width="88" customWidth="1"/>
  </cols>
  <sheetData>
    <row r="3" spans="1:1" ht="22.5" x14ac:dyDescent="0.25">
      <c r="A3" s="42" t="s">
        <v>205</v>
      </c>
    </row>
    <row r="4" spans="1:1" x14ac:dyDescent="0.25">
      <c r="A4" s="43"/>
    </row>
    <row r="5" spans="1:1" x14ac:dyDescent="0.25">
      <c r="A5" s="43" t="s">
        <v>215</v>
      </c>
    </row>
    <row r="6" spans="1:1" x14ac:dyDescent="0.25">
      <c r="A6" s="43"/>
    </row>
    <row r="7" spans="1:1" x14ac:dyDescent="0.25">
      <c r="A7" s="43" t="s">
        <v>216</v>
      </c>
    </row>
    <row r="8" spans="1:1" x14ac:dyDescent="0.25">
      <c r="A8" s="43"/>
    </row>
    <row r="9" spans="1:1" x14ac:dyDescent="0.25">
      <c r="A9" s="43" t="s">
        <v>206</v>
      </c>
    </row>
    <row r="10" spans="1:1" x14ac:dyDescent="0.25">
      <c r="A10" s="4"/>
    </row>
    <row r="11" spans="1:1" x14ac:dyDescent="0.25">
      <c r="A11" s="41" t="s">
        <v>207</v>
      </c>
    </row>
    <row r="12" spans="1:1" x14ac:dyDescent="0.25">
      <c r="A12" s="43"/>
    </row>
    <row r="13" spans="1:1" x14ac:dyDescent="0.25">
      <c r="A13" s="43" t="s">
        <v>208</v>
      </c>
    </row>
    <row r="14" spans="1:1" x14ac:dyDescent="0.25">
      <c r="A14" s="43"/>
    </row>
    <row r="15" spans="1:1" x14ac:dyDescent="0.25">
      <c r="A15" s="43" t="s">
        <v>209</v>
      </c>
    </row>
    <row r="16" spans="1:1" x14ac:dyDescent="0.25">
      <c r="A16" s="43"/>
    </row>
    <row r="17" spans="1:1" x14ac:dyDescent="0.25">
      <c r="A17" s="43" t="s">
        <v>210</v>
      </c>
    </row>
    <row r="18" spans="1:1" x14ac:dyDescent="0.25">
      <c r="A18" s="43"/>
    </row>
    <row r="19" spans="1:1" x14ac:dyDescent="0.25">
      <c r="A19" s="43" t="s">
        <v>211</v>
      </c>
    </row>
    <row r="20" spans="1:1" x14ac:dyDescent="0.25">
      <c r="A20" s="43"/>
    </row>
    <row r="21" spans="1:1" x14ac:dyDescent="0.25">
      <c r="A21" s="43" t="s">
        <v>212</v>
      </c>
    </row>
    <row r="22" spans="1:1" x14ac:dyDescent="0.25">
      <c r="A22" s="43"/>
    </row>
    <row r="23" spans="1:1" x14ac:dyDescent="0.25">
      <c r="A23" s="43" t="s">
        <v>213</v>
      </c>
    </row>
    <row r="24" spans="1:1" x14ac:dyDescent="0.25">
      <c r="A24" s="4"/>
    </row>
    <row r="25" spans="1:1" x14ac:dyDescent="0.25">
      <c r="A25" s="4" t="s">
        <v>214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F24"/>
  <sheetViews>
    <sheetView showGridLines="0" view="pageBreakPreview" zoomScale="93" zoomScaleNormal="89" zoomScaleSheetLayoutView="93" workbookViewId="0">
      <selection activeCell="E5" sqref="E5"/>
    </sheetView>
  </sheetViews>
  <sheetFormatPr defaultRowHeight="15" x14ac:dyDescent="0.25"/>
  <cols>
    <col min="1" max="1" width="50" customWidth="1"/>
    <col min="2" max="6" width="15.7109375" customWidth="1"/>
  </cols>
  <sheetData>
    <row r="1" spans="1:6" ht="18.75" customHeight="1" x14ac:dyDescent="0.3">
      <c r="A1" s="3" t="s">
        <v>0</v>
      </c>
      <c r="B1" s="7"/>
      <c r="C1" s="7"/>
      <c r="D1" s="7"/>
      <c r="E1" s="7"/>
      <c r="F1" s="7"/>
    </row>
    <row r="2" spans="1:6" x14ac:dyDescent="0.25">
      <c r="A2" s="4"/>
      <c r="B2" s="4"/>
      <c r="C2" s="4"/>
      <c r="D2" s="4"/>
      <c r="E2" s="4"/>
      <c r="F2" s="4"/>
    </row>
    <row r="3" spans="1:6" ht="44.25" customHeight="1" x14ac:dyDescent="0.25">
      <c r="A3" s="19" t="s">
        <v>1</v>
      </c>
      <c r="B3" s="19" t="s">
        <v>2</v>
      </c>
      <c r="C3" s="19" t="s">
        <v>3</v>
      </c>
      <c r="D3" s="19" t="s">
        <v>4</v>
      </c>
      <c r="E3" s="37" t="s">
        <v>5</v>
      </c>
      <c r="F3" s="37" t="s">
        <v>6</v>
      </c>
    </row>
    <row r="4" spans="1:6" ht="18" customHeight="1" x14ac:dyDescent="0.25">
      <c r="A4" s="20" t="s">
        <v>7</v>
      </c>
      <c r="B4" s="21">
        <v>1000</v>
      </c>
      <c r="C4" s="21">
        <v>2000</v>
      </c>
      <c r="D4" s="21">
        <v>2500</v>
      </c>
      <c r="E4" s="22">
        <f t="shared" ref="E4:F11" si="0">(C4/B4)-1</f>
        <v>1</v>
      </c>
      <c r="F4" s="22">
        <f t="shared" si="0"/>
        <v>0.25</v>
      </c>
    </row>
    <row r="5" spans="1:6" ht="18" customHeight="1" x14ac:dyDescent="0.25">
      <c r="A5" s="20" t="s">
        <v>8</v>
      </c>
      <c r="B5" s="21">
        <v>4</v>
      </c>
      <c r="C5" s="21">
        <v>5</v>
      </c>
      <c r="D5" s="21">
        <v>3</v>
      </c>
      <c r="E5" s="22">
        <f t="shared" si="0"/>
        <v>0.25</v>
      </c>
      <c r="F5" s="22">
        <f t="shared" si="0"/>
        <v>-0.4</v>
      </c>
    </row>
    <row r="6" spans="1:6" ht="18" customHeight="1" x14ac:dyDescent="0.25">
      <c r="A6" s="23" t="s">
        <v>9</v>
      </c>
      <c r="B6" s="24">
        <f>B4+B5</f>
        <v>1004</v>
      </c>
      <c r="C6" s="24">
        <f>C4+C5</f>
        <v>2005</v>
      </c>
      <c r="D6" s="24">
        <f>D4+D5</f>
        <v>2503</v>
      </c>
      <c r="E6" s="25">
        <f t="shared" si="0"/>
        <v>0.99701195219123506</v>
      </c>
      <c r="F6" s="25">
        <f t="shared" si="0"/>
        <v>0.2483790523690772</v>
      </c>
    </row>
    <row r="7" spans="1:6" ht="18" customHeight="1" x14ac:dyDescent="0.25">
      <c r="A7" s="20" t="s">
        <v>10</v>
      </c>
      <c r="B7" s="21">
        <v>800</v>
      </c>
      <c r="C7" s="21">
        <v>1600</v>
      </c>
      <c r="D7" s="21">
        <v>2000</v>
      </c>
      <c r="E7" s="22">
        <f t="shared" si="0"/>
        <v>1</v>
      </c>
      <c r="F7" s="22">
        <f t="shared" si="0"/>
        <v>0.25</v>
      </c>
    </row>
    <row r="8" spans="1:6" ht="18" customHeight="1" x14ac:dyDescent="0.25">
      <c r="A8" s="20" t="s">
        <v>11</v>
      </c>
      <c r="B8" s="21">
        <v>30</v>
      </c>
      <c r="C8" s="21">
        <v>40</v>
      </c>
      <c r="D8" s="21">
        <v>50</v>
      </c>
      <c r="E8" s="22">
        <f t="shared" si="0"/>
        <v>0.33333333333333326</v>
      </c>
      <c r="F8" s="22">
        <f t="shared" si="0"/>
        <v>0.25</v>
      </c>
    </row>
    <row r="9" spans="1:6" ht="18" customHeight="1" x14ac:dyDescent="0.25">
      <c r="A9" s="20" t="s">
        <v>12</v>
      </c>
      <c r="B9" s="21">
        <v>20</v>
      </c>
      <c r="C9" s="21">
        <v>25</v>
      </c>
      <c r="D9" s="21">
        <v>30</v>
      </c>
      <c r="E9" s="22">
        <f t="shared" si="0"/>
        <v>0.25</v>
      </c>
      <c r="F9" s="22">
        <f t="shared" si="0"/>
        <v>0.19999999999999996</v>
      </c>
    </row>
    <row r="10" spans="1:6" ht="18" customHeight="1" x14ac:dyDescent="0.25">
      <c r="A10" s="23" t="s">
        <v>13</v>
      </c>
      <c r="B10" s="24">
        <f>SUM(B7:B9)</f>
        <v>850</v>
      </c>
      <c r="C10" s="24">
        <f>SUM(C7:C9)</f>
        <v>1665</v>
      </c>
      <c r="D10" s="24">
        <f>SUM(D7:D9)</f>
        <v>2080</v>
      </c>
      <c r="E10" s="26">
        <f t="shared" si="0"/>
        <v>0.95882352941176463</v>
      </c>
      <c r="F10" s="26">
        <f t="shared" si="0"/>
        <v>0.24924924924924929</v>
      </c>
    </row>
    <row r="11" spans="1:6" ht="18" customHeight="1" x14ac:dyDescent="0.25">
      <c r="A11" s="19" t="s">
        <v>14</v>
      </c>
      <c r="B11" s="27">
        <f>B6-B10</f>
        <v>154</v>
      </c>
      <c r="C11" s="27">
        <f>C6-C10</f>
        <v>340</v>
      </c>
      <c r="D11" s="27">
        <f>D6-D10</f>
        <v>423</v>
      </c>
      <c r="E11" s="28">
        <f t="shared" si="0"/>
        <v>1.2077922077922079</v>
      </c>
      <c r="F11" s="28">
        <f t="shared" si="0"/>
        <v>0.24411764705882355</v>
      </c>
    </row>
    <row r="12" spans="1:6" ht="18" customHeight="1" x14ac:dyDescent="0.25">
      <c r="A12" s="19" t="s">
        <v>15</v>
      </c>
      <c r="B12" s="28">
        <f>B11/B6</f>
        <v>0.15338645418326693</v>
      </c>
      <c r="C12" s="28">
        <f>C11/C6</f>
        <v>0.16957605985037408</v>
      </c>
      <c r="D12" s="28">
        <f>D11/D6</f>
        <v>0.16899720335597282</v>
      </c>
      <c r="E12" s="28"/>
      <c r="F12" s="28"/>
    </row>
    <row r="13" spans="1:6" ht="18" customHeight="1" x14ac:dyDescent="0.25">
      <c r="A13" s="20" t="s">
        <v>16</v>
      </c>
      <c r="B13" s="21">
        <v>20</v>
      </c>
      <c r="C13" s="21">
        <v>25</v>
      </c>
      <c r="D13" s="21">
        <v>30</v>
      </c>
      <c r="E13" s="22">
        <f t="shared" ref="E13:F19" si="1">(C13/B13)-1</f>
        <v>0.25</v>
      </c>
      <c r="F13" s="22">
        <f t="shared" si="1"/>
        <v>0.19999999999999996</v>
      </c>
    </row>
    <row r="14" spans="1:6" ht="18" customHeight="1" x14ac:dyDescent="0.25">
      <c r="A14" s="29" t="s">
        <v>17</v>
      </c>
      <c r="B14" s="30">
        <f>B11-B13</f>
        <v>134</v>
      </c>
      <c r="C14" s="30">
        <f>C11-C13</f>
        <v>315</v>
      </c>
      <c r="D14" s="30">
        <f>D11-D13</f>
        <v>393</v>
      </c>
      <c r="E14" s="31">
        <f t="shared" si="1"/>
        <v>1.3507462686567164</v>
      </c>
      <c r="F14" s="31">
        <f t="shared" si="1"/>
        <v>0.24761904761904763</v>
      </c>
    </row>
    <row r="15" spans="1:6" ht="18" customHeight="1" x14ac:dyDescent="0.25">
      <c r="A15" s="20" t="s">
        <v>18</v>
      </c>
      <c r="B15" s="21">
        <v>2</v>
      </c>
      <c r="C15" s="21">
        <v>3</v>
      </c>
      <c r="D15" s="21">
        <v>2</v>
      </c>
      <c r="E15" s="22">
        <f t="shared" si="1"/>
        <v>0.5</v>
      </c>
      <c r="F15" s="22">
        <f t="shared" si="1"/>
        <v>-0.33333333333333337</v>
      </c>
    </row>
    <row r="16" spans="1:6" ht="18" customHeight="1" x14ac:dyDescent="0.25">
      <c r="A16" s="20" t="s">
        <v>19</v>
      </c>
      <c r="B16" s="21">
        <v>-7</v>
      </c>
      <c r="C16" s="21">
        <v>-10</v>
      </c>
      <c r="D16" s="21">
        <v>-15</v>
      </c>
      <c r="E16" s="22">
        <f t="shared" si="1"/>
        <v>0.4285714285714286</v>
      </c>
      <c r="F16" s="22">
        <f t="shared" si="1"/>
        <v>0.5</v>
      </c>
    </row>
    <row r="17" spans="1:6" ht="18" customHeight="1" x14ac:dyDescent="0.25">
      <c r="A17" s="32" t="s">
        <v>20</v>
      </c>
      <c r="B17" s="33">
        <f>B14-SUM(B16:B16)</f>
        <v>141</v>
      </c>
      <c r="C17" s="33">
        <f>C14-SUM(C16:C16)</f>
        <v>325</v>
      </c>
      <c r="D17" s="33">
        <f>D14-SUM(D16:D16)</f>
        <v>408</v>
      </c>
      <c r="E17" s="31">
        <f t="shared" si="1"/>
        <v>1.3049645390070923</v>
      </c>
      <c r="F17" s="31">
        <f t="shared" si="1"/>
        <v>0.25538461538461532</v>
      </c>
    </row>
    <row r="18" spans="1:6" ht="18" customHeight="1" x14ac:dyDescent="0.25">
      <c r="A18" s="20" t="s">
        <v>21</v>
      </c>
      <c r="B18" s="21">
        <v>3</v>
      </c>
      <c r="C18" s="21">
        <v>7</v>
      </c>
      <c r="D18" s="21">
        <v>10</v>
      </c>
      <c r="E18" s="22">
        <f t="shared" si="1"/>
        <v>1.3333333333333335</v>
      </c>
      <c r="F18" s="22">
        <f t="shared" si="1"/>
        <v>0.4285714285714286</v>
      </c>
    </row>
    <row r="19" spans="1:6" ht="18" customHeight="1" x14ac:dyDescent="0.25">
      <c r="A19" s="19" t="s">
        <v>22</v>
      </c>
      <c r="B19" s="27">
        <f>B17-B18</f>
        <v>138</v>
      </c>
      <c r="C19" s="27">
        <f>C17-C18</f>
        <v>318</v>
      </c>
      <c r="D19" s="27">
        <f>D17-D18</f>
        <v>398</v>
      </c>
      <c r="E19" s="34">
        <f t="shared" si="1"/>
        <v>1.3043478260869565</v>
      </c>
      <c r="F19" s="34">
        <f t="shared" si="1"/>
        <v>0.2515723270440251</v>
      </c>
    </row>
    <row r="20" spans="1:6" ht="18" customHeight="1" x14ac:dyDescent="0.25">
      <c r="A20" s="19" t="s">
        <v>23</v>
      </c>
      <c r="B20" s="28">
        <f>B19/B6</f>
        <v>0.13745019920318724</v>
      </c>
      <c r="C20" s="28">
        <f>C19/C6</f>
        <v>0.15860349127182044</v>
      </c>
      <c r="D20" s="28">
        <f>D19/D6</f>
        <v>0.15900918897323213</v>
      </c>
      <c r="E20" s="35"/>
      <c r="F20" s="35"/>
    </row>
    <row r="21" spans="1:6" ht="18" customHeight="1" x14ac:dyDescent="0.25">
      <c r="A21" s="36"/>
      <c r="B21" s="36"/>
      <c r="C21" s="36"/>
      <c r="D21" s="36"/>
      <c r="E21" s="36"/>
      <c r="F21" s="36"/>
    </row>
    <row r="22" spans="1:6" ht="18" customHeight="1" x14ac:dyDescent="0.25">
      <c r="A22" s="36"/>
      <c r="B22" s="36"/>
      <c r="C22" s="36"/>
      <c r="D22" s="36"/>
      <c r="E22" s="36"/>
      <c r="F22" s="36"/>
    </row>
    <row r="23" spans="1:6" ht="18" customHeight="1" x14ac:dyDescent="0.25">
      <c r="A23" s="36"/>
      <c r="B23" s="36"/>
      <c r="C23" s="36"/>
      <c r="D23" s="36"/>
      <c r="E23" s="36"/>
      <c r="F23" s="36"/>
    </row>
    <row r="24" spans="1:6" ht="18" customHeight="1" x14ac:dyDescent="0.25">
      <c r="A24" s="36"/>
      <c r="B24" s="36"/>
      <c r="C24" s="36"/>
      <c r="D24" s="36"/>
      <c r="E24" s="36"/>
      <c r="F24" s="36"/>
    </row>
  </sheetData>
  <conditionalFormatting sqref="E4:F19">
    <cfRule type="cellIs" dxfId="2" priority="1" operator="lessThan">
      <formula>0</formula>
    </cfRule>
    <cfRule type="cellIs" dxfId="1" priority="2" operator="greaterThan">
      <formula>0</formula>
    </cfRule>
    <cfRule type="cellIs" dxfId="0" priority="3" operator="greaterThan">
      <formula>0</formula>
    </cfRule>
  </conditionalFormatting>
  <pageMargins left="0.75" right="0.75" top="1" bottom="1" header="0.5" footer="0.5"/>
  <pageSetup scale="6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F45"/>
  <sheetViews>
    <sheetView showGridLines="0" view="pageBreakPreview" zoomScale="106" zoomScaleNormal="100" zoomScaleSheetLayoutView="106" workbookViewId="0">
      <selection activeCell="E5" sqref="E5"/>
    </sheetView>
  </sheetViews>
  <sheetFormatPr defaultRowHeight="15" x14ac:dyDescent="0.25"/>
  <cols>
    <col min="1" max="1" width="45" customWidth="1"/>
    <col min="2" max="2" width="12.85546875" customWidth="1"/>
    <col min="3" max="3" width="13.85546875" customWidth="1"/>
    <col min="4" max="4" width="14" customWidth="1"/>
    <col min="5" max="5" width="12.85546875" customWidth="1"/>
    <col min="6" max="6" width="13.140625" customWidth="1"/>
  </cols>
  <sheetData>
    <row r="1" spans="1:6" ht="18.75" customHeight="1" x14ac:dyDescent="0.3">
      <c r="A1" s="11" t="s">
        <v>24</v>
      </c>
      <c r="B1" s="12"/>
      <c r="C1" s="12"/>
      <c r="D1" s="12"/>
      <c r="E1" s="12"/>
      <c r="F1" s="12"/>
    </row>
    <row r="2" spans="1:6" x14ac:dyDescent="0.25">
      <c r="A2" s="2"/>
      <c r="B2" s="2"/>
      <c r="C2" s="2"/>
      <c r="D2" s="2"/>
      <c r="E2" s="2"/>
      <c r="F2" s="2"/>
    </row>
    <row r="3" spans="1:6" ht="30" customHeight="1" x14ac:dyDescent="0.25">
      <c r="A3" s="5" t="s">
        <v>1</v>
      </c>
      <c r="B3" s="6" t="s">
        <v>2</v>
      </c>
      <c r="C3" s="6" t="s">
        <v>3</v>
      </c>
      <c r="D3" s="6" t="s">
        <v>4</v>
      </c>
      <c r="E3" s="38" t="s">
        <v>25</v>
      </c>
      <c r="F3" s="38" t="s">
        <v>26</v>
      </c>
    </row>
    <row r="4" spans="1:6" x14ac:dyDescent="0.25">
      <c r="A4" s="8" t="s">
        <v>27</v>
      </c>
      <c r="B4" s="2"/>
      <c r="C4" s="2"/>
      <c r="D4" s="2"/>
      <c r="E4" s="2"/>
      <c r="F4" s="2"/>
    </row>
    <row r="5" spans="1:6" x14ac:dyDescent="0.25">
      <c r="A5" s="8" t="s">
        <v>28</v>
      </c>
      <c r="B5" s="2"/>
      <c r="C5" s="2"/>
      <c r="D5" s="2"/>
      <c r="E5" s="2"/>
      <c r="F5" s="2"/>
    </row>
    <row r="6" spans="1:6" x14ac:dyDescent="0.25">
      <c r="A6" s="2" t="s">
        <v>29</v>
      </c>
      <c r="B6" s="9">
        <v>5000</v>
      </c>
      <c r="C6" s="9">
        <v>5475</v>
      </c>
      <c r="D6" s="9">
        <v>5470</v>
      </c>
      <c r="E6" s="39">
        <f t="shared" ref="E6:E19" si="0">D6-C6</f>
        <v>-5</v>
      </c>
      <c r="F6" s="39">
        <f t="shared" ref="F6:F19" si="1">C6-B6</f>
        <v>475</v>
      </c>
    </row>
    <row r="7" spans="1:6" x14ac:dyDescent="0.25">
      <c r="A7" s="2" t="s">
        <v>30</v>
      </c>
      <c r="B7" s="9">
        <v>100</v>
      </c>
      <c r="C7" s="9">
        <v>100</v>
      </c>
      <c r="D7" s="9">
        <v>100</v>
      </c>
      <c r="E7" s="39">
        <f t="shared" si="0"/>
        <v>0</v>
      </c>
      <c r="F7" s="39">
        <f t="shared" si="1"/>
        <v>0</v>
      </c>
    </row>
    <row r="8" spans="1:6" x14ac:dyDescent="0.25">
      <c r="A8" s="2" t="s">
        <v>31</v>
      </c>
      <c r="B8" s="9">
        <v>10</v>
      </c>
      <c r="C8" s="9">
        <v>20</v>
      </c>
      <c r="D8" s="9">
        <v>30</v>
      </c>
      <c r="E8" s="39">
        <f t="shared" si="0"/>
        <v>10</v>
      </c>
      <c r="F8" s="39">
        <f t="shared" si="1"/>
        <v>10</v>
      </c>
    </row>
    <row r="9" spans="1:6" x14ac:dyDescent="0.25">
      <c r="A9" s="2" t="s">
        <v>32</v>
      </c>
      <c r="B9" s="9">
        <v>300</v>
      </c>
      <c r="C9" s="9">
        <v>400</v>
      </c>
      <c r="D9" s="9">
        <v>500</v>
      </c>
      <c r="E9" s="39">
        <f t="shared" si="0"/>
        <v>100</v>
      </c>
      <c r="F9" s="39">
        <f t="shared" si="1"/>
        <v>100</v>
      </c>
    </row>
    <row r="10" spans="1:6" x14ac:dyDescent="0.25">
      <c r="A10" s="2" t="s">
        <v>33</v>
      </c>
      <c r="B10" s="9">
        <v>10</v>
      </c>
      <c r="C10" s="9">
        <v>20</v>
      </c>
      <c r="D10" s="9">
        <v>30</v>
      </c>
      <c r="E10" s="39">
        <f t="shared" si="0"/>
        <v>10</v>
      </c>
      <c r="F10" s="39">
        <f t="shared" si="1"/>
        <v>10</v>
      </c>
    </row>
    <row r="11" spans="1:6" x14ac:dyDescent="0.25">
      <c r="A11" s="13" t="s">
        <v>34</v>
      </c>
      <c r="B11" s="14">
        <f>SUM(B6:B10)</f>
        <v>5420</v>
      </c>
      <c r="C11" s="14">
        <f>SUM(C6:C10)</f>
        <v>6015</v>
      </c>
      <c r="D11" s="14">
        <f>SUM(D6:D10)</f>
        <v>6130</v>
      </c>
      <c r="E11" s="39">
        <f t="shared" si="0"/>
        <v>115</v>
      </c>
      <c r="F11" s="39">
        <f t="shared" si="1"/>
        <v>595</v>
      </c>
    </row>
    <row r="12" spans="1:6" x14ac:dyDescent="0.25">
      <c r="A12" s="2"/>
      <c r="B12" s="9"/>
      <c r="C12" s="9"/>
      <c r="D12" s="9"/>
      <c r="E12" s="39">
        <f t="shared" si="0"/>
        <v>0</v>
      </c>
      <c r="F12" s="39">
        <f t="shared" si="1"/>
        <v>0</v>
      </c>
    </row>
    <row r="13" spans="1:6" x14ac:dyDescent="0.25">
      <c r="A13" s="8" t="s">
        <v>35</v>
      </c>
      <c r="B13" s="9"/>
      <c r="C13" s="9"/>
      <c r="D13" s="9"/>
      <c r="E13" s="39">
        <f t="shared" si="0"/>
        <v>0</v>
      </c>
      <c r="F13" s="39">
        <f t="shared" si="1"/>
        <v>0</v>
      </c>
    </row>
    <row r="14" spans="1:6" x14ac:dyDescent="0.25">
      <c r="A14" s="2" t="s">
        <v>36</v>
      </c>
      <c r="B14" s="9">
        <v>100</v>
      </c>
      <c r="C14" s="9">
        <v>150</v>
      </c>
      <c r="D14" s="9">
        <v>200</v>
      </c>
      <c r="E14" s="39">
        <f t="shared" si="0"/>
        <v>50</v>
      </c>
      <c r="F14" s="39">
        <f t="shared" si="1"/>
        <v>50</v>
      </c>
    </row>
    <row r="15" spans="1:6" x14ac:dyDescent="0.25">
      <c r="A15" s="2" t="s">
        <v>37</v>
      </c>
      <c r="B15" s="9">
        <v>10</v>
      </c>
      <c r="C15" s="9">
        <v>20</v>
      </c>
      <c r="D15" s="9">
        <v>30</v>
      </c>
      <c r="E15" s="39">
        <f t="shared" si="0"/>
        <v>10</v>
      </c>
      <c r="F15" s="39">
        <f t="shared" si="1"/>
        <v>10</v>
      </c>
    </row>
    <row r="16" spans="1:6" x14ac:dyDescent="0.25">
      <c r="A16" s="2" t="s">
        <v>38</v>
      </c>
      <c r="B16" s="9">
        <v>200</v>
      </c>
      <c r="C16" s="9">
        <v>400</v>
      </c>
      <c r="D16" s="9">
        <v>500</v>
      </c>
      <c r="E16" s="39">
        <f t="shared" si="0"/>
        <v>100</v>
      </c>
      <c r="F16" s="39">
        <f t="shared" si="1"/>
        <v>200</v>
      </c>
    </row>
    <row r="17" spans="1:6" x14ac:dyDescent="0.25">
      <c r="A17" s="2" t="s">
        <v>39</v>
      </c>
      <c r="B17" s="9">
        <v>500</v>
      </c>
      <c r="C17" s="9">
        <v>300</v>
      </c>
      <c r="D17" s="9">
        <v>300</v>
      </c>
      <c r="E17" s="39">
        <f t="shared" si="0"/>
        <v>0</v>
      </c>
      <c r="F17" s="39">
        <f t="shared" si="1"/>
        <v>-200</v>
      </c>
    </row>
    <row r="18" spans="1:6" x14ac:dyDescent="0.25">
      <c r="A18" s="2" t="s">
        <v>40</v>
      </c>
      <c r="B18" s="9">
        <v>20</v>
      </c>
      <c r="C18" s="9">
        <v>30</v>
      </c>
      <c r="D18" s="9">
        <v>35</v>
      </c>
      <c r="E18" s="39">
        <f t="shared" si="0"/>
        <v>5</v>
      </c>
      <c r="F18" s="39">
        <f t="shared" si="1"/>
        <v>10</v>
      </c>
    </row>
    <row r="19" spans="1:6" x14ac:dyDescent="0.25">
      <c r="A19" s="13" t="s">
        <v>41</v>
      </c>
      <c r="B19" s="14">
        <f>SUM(B14:B18)</f>
        <v>830</v>
      </c>
      <c r="C19" s="14">
        <f>SUM(C14:C18)</f>
        <v>900</v>
      </c>
      <c r="D19" s="14">
        <f>SUM(D14:D18)</f>
        <v>1065</v>
      </c>
      <c r="E19" s="39">
        <f t="shared" si="0"/>
        <v>165</v>
      </c>
      <c r="F19" s="39">
        <f t="shared" si="1"/>
        <v>70</v>
      </c>
    </row>
    <row r="20" spans="1:6" x14ac:dyDescent="0.25">
      <c r="A20" s="2"/>
      <c r="B20" s="9"/>
      <c r="C20" s="9"/>
      <c r="D20" s="9"/>
      <c r="E20" s="9"/>
      <c r="F20" s="9"/>
    </row>
    <row r="21" spans="1:6" x14ac:dyDescent="0.25">
      <c r="A21" s="1" t="s">
        <v>42</v>
      </c>
      <c r="B21" s="10">
        <f>B19+B11</f>
        <v>6250</v>
      </c>
      <c r="C21" s="10">
        <f>C19+C11</f>
        <v>6915</v>
      </c>
      <c r="D21" s="10">
        <f>D19+D11</f>
        <v>7195</v>
      </c>
      <c r="E21" s="10">
        <f>E19+E11</f>
        <v>280</v>
      </c>
      <c r="F21" s="10">
        <f>F19+F11</f>
        <v>665</v>
      </c>
    </row>
    <row r="22" spans="1:6" x14ac:dyDescent="0.25">
      <c r="A22" s="2"/>
      <c r="B22" s="9"/>
      <c r="C22" s="9"/>
      <c r="D22" s="9"/>
      <c r="E22" s="9"/>
      <c r="F22" s="9"/>
    </row>
    <row r="23" spans="1:6" x14ac:dyDescent="0.25">
      <c r="A23" s="8" t="s">
        <v>43</v>
      </c>
      <c r="B23" s="9"/>
      <c r="C23" s="9"/>
      <c r="D23" s="9"/>
      <c r="E23" s="9"/>
      <c r="F23" s="9"/>
    </row>
    <row r="24" spans="1:6" x14ac:dyDescent="0.25">
      <c r="A24" s="2" t="s">
        <v>44</v>
      </c>
      <c r="B24" s="9">
        <v>3500</v>
      </c>
      <c r="C24" s="9">
        <v>3000</v>
      </c>
      <c r="D24" s="9">
        <v>3000</v>
      </c>
      <c r="E24" s="39">
        <f t="shared" ref="E24:E42" si="2">D24-C24</f>
        <v>0</v>
      </c>
      <c r="F24" s="39">
        <f t="shared" ref="F24:F42" si="3">C24-B24</f>
        <v>-500</v>
      </c>
    </row>
    <row r="25" spans="1:6" x14ac:dyDescent="0.25">
      <c r="A25" s="2" t="s">
        <v>45</v>
      </c>
      <c r="B25" s="9">
        <f>10+PL_3Y_SME!B19</f>
        <v>148</v>
      </c>
      <c r="C25" s="9">
        <f>B25+PL_3Y_SME!C19</f>
        <v>466</v>
      </c>
      <c r="D25" s="9">
        <f>C25+PL_3Y_SME!D19</f>
        <v>864</v>
      </c>
      <c r="E25" s="39">
        <f t="shared" si="2"/>
        <v>398</v>
      </c>
      <c r="F25" s="39">
        <f t="shared" si="3"/>
        <v>318</v>
      </c>
    </row>
    <row r="26" spans="1:6" x14ac:dyDescent="0.25">
      <c r="A26" s="13" t="s">
        <v>46</v>
      </c>
      <c r="B26" s="14">
        <f>B24+B25</f>
        <v>3648</v>
      </c>
      <c r="C26" s="14">
        <f>C24+C25</f>
        <v>3466</v>
      </c>
      <c r="D26" s="14">
        <f>D24+D25</f>
        <v>3864</v>
      </c>
      <c r="E26" s="40">
        <f t="shared" si="2"/>
        <v>398</v>
      </c>
      <c r="F26" s="40">
        <f t="shared" si="3"/>
        <v>-182</v>
      </c>
    </row>
    <row r="27" spans="1:6" x14ac:dyDescent="0.25">
      <c r="A27" s="2"/>
      <c r="B27" s="9"/>
      <c r="C27" s="9"/>
      <c r="D27" s="9"/>
      <c r="E27" s="39">
        <f t="shared" si="2"/>
        <v>0</v>
      </c>
      <c r="F27" s="39">
        <f t="shared" si="3"/>
        <v>0</v>
      </c>
    </row>
    <row r="28" spans="1:6" x14ac:dyDescent="0.25">
      <c r="A28" s="8" t="s">
        <v>47</v>
      </c>
      <c r="B28" s="9"/>
      <c r="C28" s="9"/>
      <c r="D28" s="9"/>
      <c r="E28" s="39">
        <f t="shared" si="2"/>
        <v>0</v>
      </c>
      <c r="F28" s="39">
        <f t="shared" si="3"/>
        <v>0</v>
      </c>
    </row>
    <row r="29" spans="1:6" x14ac:dyDescent="0.25">
      <c r="A29" s="2" t="s">
        <v>48</v>
      </c>
      <c r="B29" s="9">
        <v>2000</v>
      </c>
      <c r="C29" s="9">
        <v>2500</v>
      </c>
      <c r="D29" s="9">
        <v>2800</v>
      </c>
      <c r="E29" s="39">
        <f t="shared" si="2"/>
        <v>300</v>
      </c>
      <c r="F29" s="39">
        <f t="shared" si="3"/>
        <v>500</v>
      </c>
    </row>
    <row r="30" spans="1:6" x14ac:dyDescent="0.25">
      <c r="A30" s="2" t="s">
        <v>49</v>
      </c>
      <c r="B30" s="9">
        <v>2</v>
      </c>
      <c r="C30" s="9">
        <v>3</v>
      </c>
      <c r="D30" s="9">
        <v>4</v>
      </c>
      <c r="E30" s="39">
        <f t="shared" si="2"/>
        <v>1</v>
      </c>
      <c r="F30" s="39">
        <f t="shared" si="3"/>
        <v>1</v>
      </c>
    </row>
    <row r="31" spans="1:6" x14ac:dyDescent="0.25">
      <c r="A31" s="2" t="s">
        <v>50</v>
      </c>
      <c r="B31" s="9">
        <v>22</v>
      </c>
      <c r="C31" s="9">
        <v>22</v>
      </c>
      <c r="D31" s="9">
        <v>74</v>
      </c>
      <c r="E31" s="39">
        <f t="shared" si="2"/>
        <v>52</v>
      </c>
      <c r="F31" s="39">
        <f t="shared" si="3"/>
        <v>0</v>
      </c>
    </row>
    <row r="32" spans="1:6" x14ac:dyDescent="0.25">
      <c r="A32" s="13" t="s">
        <v>51</v>
      </c>
      <c r="B32" s="14">
        <f>SUM(B29:B31)</f>
        <v>2024</v>
      </c>
      <c r="C32" s="14">
        <f>SUM(C29:C31)</f>
        <v>2525</v>
      </c>
      <c r="D32" s="14">
        <f>SUM(D29:D31)</f>
        <v>2878</v>
      </c>
      <c r="E32" s="40">
        <f t="shared" si="2"/>
        <v>353</v>
      </c>
      <c r="F32" s="40">
        <f t="shared" si="3"/>
        <v>501</v>
      </c>
    </row>
    <row r="33" spans="1:6" x14ac:dyDescent="0.25">
      <c r="A33" s="2"/>
      <c r="B33" s="15"/>
      <c r="C33" s="15"/>
      <c r="D33" s="15"/>
      <c r="E33" s="39">
        <f t="shared" si="2"/>
        <v>0</v>
      </c>
      <c r="F33" s="39">
        <f t="shared" si="3"/>
        <v>0</v>
      </c>
    </row>
    <row r="34" spans="1:6" x14ac:dyDescent="0.25">
      <c r="A34" s="8" t="s">
        <v>52</v>
      </c>
      <c r="B34" s="9"/>
      <c r="C34" s="9"/>
      <c r="D34" s="9"/>
      <c r="E34" s="39">
        <f t="shared" si="2"/>
        <v>0</v>
      </c>
      <c r="F34" s="39">
        <f t="shared" si="3"/>
        <v>0</v>
      </c>
    </row>
    <row r="35" spans="1:6" x14ac:dyDescent="0.25">
      <c r="A35" s="2" t="s">
        <v>53</v>
      </c>
      <c r="B35" s="9">
        <v>200</v>
      </c>
      <c r="C35" s="9">
        <v>300</v>
      </c>
      <c r="D35" s="9">
        <v>100</v>
      </c>
      <c r="E35" s="39">
        <f t="shared" si="2"/>
        <v>-200</v>
      </c>
      <c r="F35" s="39">
        <f t="shared" si="3"/>
        <v>100</v>
      </c>
    </row>
    <row r="36" spans="1:6" x14ac:dyDescent="0.25">
      <c r="A36" s="2" t="s">
        <v>54</v>
      </c>
      <c r="B36" s="9">
        <v>170</v>
      </c>
      <c r="C36" s="9">
        <f>333-25</f>
        <v>308</v>
      </c>
      <c r="D36" s="9">
        <f>416-200</f>
        <v>216</v>
      </c>
      <c r="E36" s="39">
        <f t="shared" si="2"/>
        <v>-92</v>
      </c>
      <c r="F36" s="39">
        <f t="shared" si="3"/>
        <v>138</v>
      </c>
    </row>
    <row r="37" spans="1:6" x14ac:dyDescent="0.25">
      <c r="A37" s="2" t="s">
        <v>55</v>
      </c>
      <c r="B37" s="9">
        <f>B22+B35</f>
        <v>200</v>
      </c>
      <c r="C37" s="9">
        <f>C22+C35</f>
        <v>300</v>
      </c>
      <c r="D37" s="9">
        <v>120</v>
      </c>
      <c r="E37" s="39">
        <f t="shared" si="2"/>
        <v>-180</v>
      </c>
      <c r="F37" s="39">
        <f t="shared" si="3"/>
        <v>100</v>
      </c>
    </row>
    <row r="38" spans="1:6" x14ac:dyDescent="0.25">
      <c r="A38" s="2" t="s">
        <v>56</v>
      </c>
      <c r="B38" s="9">
        <v>3</v>
      </c>
      <c r="C38" s="9">
        <v>10</v>
      </c>
      <c r="D38" s="9">
        <v>10</v>
      </c>
      <c r="E38" s="39">
        <f t="shared" si="2"/>
        <v>0</v>
      </c>
      <c r="F38" s="39">
        <f t="shared" si="3"/>
        <v>7</v>
      </c>
    </row>
    <row r="39" spans="1:6" x14ac:dyDescent="0.25">
      <c r="A39" s="2" t="s">
        <v>57</v>
      </c>
      <c r="B39" s="9">
        <v>5</v>
      </c>
      <c r="C39" s="9">
        <v>6</v>
      </c>
      <c r="D39" s="9">
        <v>7</v>
      </c>
      <c r="E39" s="39">
        <f t="shared" si="2"/>
        <v>1</v>
      </c>
      <c r="F39" s="39">
        <f t="shared" si="3"/>
        <v>1</v>
      </c>
    </row>
    <row r="40" spans="1:6" x14ac:dyDescent="0.25">
      <c r="A40" s="13" t="s">
        <v>58</v>
      </c>
      <c r="B40" s="14">
        <f>SUM(B35:B39)</f>
        <v>578</v>
      </c>
      <c r="C40" s="14">
        <f>SUM(C35:C39)</f>
        <v>924</v>
      </c>
      <c r="D40" s="14">
        <f>SUM(D35:D39)</f>
        <v>453</v>
      </c>
      <c r="E40" s="40">
        <f t="shared" si="2"/>
        <v>-471</v>
      </c>
      <c r="F40" s="40">
        <f t="shared" si="3"/>
        <v>346</v>
      </c>
    </row>
    <row r="41" spans="1:6" x14ac:dyDescent="0.25">
      <c r="A41" s="2"/>
      <c r="B41" s="9"/>
      <c r="C41" s="9"/>
      <c r="D41" s="9"/>
      <c r="E41" s="9">
        <f t="shared" si="2"/>
        <v>0</v>
      </c>
      <c r="F41" s="9">
        <f t="shared" si="3"/>
        <v>0</v>
      </c>
    </row>
    <row r="42" spans="1:6" x14ac:dyDescent="0.25">
      <c r="A42" s="16" t="s">
        <v>59</v>
      </c>
      <c r="B42" s="17">
        <f>B40+B32</f>
        <v>2602</v>
      </c>
      <c r="C42" s="17">
        <f>C40+C32</f>
        <v>3449</v>
      </c>
      <c r="D42" s="17">
        <f>D40+D32</f>
        <v>3331</v>
      </c>
      <c r="E42" s="17">
        <f t="shared" si="2"/>
        <v>-118</v>
      </c>
      <c r="F42" s="17">
        <f t="shared" si="3"/>
        <v>847</v>
      </c>
    </row>
    <row r="43" spans="1:6" x14ac:dyDescent="0.25">
      <c r="A43" s="2"/>
      <c r="B43" s="9"/>
      <c r="C43" s="9"/>
      <c r="D43" s="9"/>
      <c r="E43" s="9"/>
      <c r="F43" s="9"/>
    </row>
    <row r="44" spans="1:6" x14ac:dyDescent="0.25">
      <c r="A44" s="1" t="s">
        <v>60</v>
      </c>
      <c r="B44" s="10">
        <f>B42+B26</f>
        <v>6250</v>
      </c>
      <c r="C44" s="10">
        <f>C42+C26</f>
        <v>6915</v>
      </c>
      <c r="D44" s="10">
        <f>D42+D26</f>
        <v>7195</v>
      </c>
      <c r="E44" s="10">
        <f>E42+E26</f>
        <v>280</v>
      </c>
      <c r="F44" s="10">
        <f>F42+F26</f>
        <v>665</v>
      </c>
    </row>
    <row r="45" spans="1:6" x14ac:dyDescent="0.25">
      <c r="A45" s="4" t="s">
        <v>61</v>
      </c>
      <c r="B45" s="18">
        <f>B44-B21</f>
        <v>0</v>
      </c>
      <c r="C45" s="18">
        <f>C44-C21</f>
        <v>0</v>
      </c>
      <c r="D45" s="18">
        <f>D44-D21</f>
        <v>0</v>
      </c>
      <c r="E45" s="18"/>
      <c r="F45" s="18"/>
    </row>
  </sheetData>
  <pageMargins left="0.75" right="0.75" top="1" bottom="1" header="0.5" footer="0.5"/>
  <pageSetup scale="7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C21"/>
  <sheetViews>
    <sheetView showGridLines="0" view="pageBreakPreview" zoomScale="124" zoomScaleNormal="100" zoomScaleSheetLayoutView="124" workbookViewId="0">
      <selection activeCell="D1" sqref="D1"/>
    </sheetView>
  </sheetViews>
  <sheetFormatPr defaultRowHeight="15" x14ac:dyDescent="0.25"/>
  <cols>
    <col min="1" max="1" width="56.28515625" style="45" customWidth="1"/>
    <col min="2" max="3" width="14.7109375" style="45" customWidth="1"/>
    <col min="4" max="16384" width="9.140625" style="45"/>
  </cols>
  <sheetData>
    <row r="1" spans="1:3" ht="18.75" customHeight="1" x14ac:dyDescent="0.3">
      <c r="A1" s="3" t="s">
        <v>62</v>
      </c>
      <c r="B1" s="7"/>
      <c r="C1" s="7"/>
    </row>
    <row r="2" spans="1:3" ht="18.75" customHeight="1" x14ac:dyDescent="0.3">
      <c r="A2" s="3" t="s">
        <v>217</v>
      </c>
      <c r="B2" s="7"/>
      <c r="C2" s="7"/>
    </row>
    <row r="3" spans="1:3" x14ac:dyDescent="0.25">
      <c r="A3" s="4"/>
      <c r="B3" s="4"/>
      <c r="C3" s="4"/>
    </row>
    <row r="4" spans="1:3" ht="17.100000000000001" customHeight="1" x14ac:dyDescent="0.25">
      <c r="A4" s="1" t="s">
        <v>1</v>
      </c>
      <c r="B4" s="52" t="s">
        <v>3</v>
      </c>
      <c r="C4" s="52" t="s">
        <v>4</v>
      </c>
    </row>
    <row r="5" spans="1:3" ht="17.100000000000001" customHeight="1" x14ac:dyDescent="0.25">
      <c r="A5" s="8" t="s">
        <v>17</v>
      </c>
      <c r="B5" s="53">
        <f>PL_3Y_SME!C14</f>
        <v>315</v>
      </c>
      <c r="C5" s="53">
        <f>PL_3Y_SME!D14</f>
        <v>393</v>
      </c>
    </row>
    <row r="6" spans="1:3" ht="17.100000000000001" customHeight="1" x14ac:dyDescent="0.25">
      <c r="A6" s="2" t="s">
        <v>63</v>
      </c>
      <c r="B6" s="54">
        <f>-B5*25%</f>
        <v>-78.75</v>
      </c>
      <c r="C6" s="54">
        <f>-C5*25%</f>
        <v>-98.25</v>
      </c>
    </row>
    <row r="7" spans="1:3" ht="17.100000000000001" customHeight="1" x14ac:dyDescent="0.25">
      <c r="A7" s="2" t="s">
        <v>64</v>
      </c>
      <c r="B7" s="54">
        <f>PL_3Y_SME!C13</f>
        <v>25</v>
      </c>
      <c r="C7" s="54">
        <f>PL_3Y_SME!D13</f>
        <v>30</v>
      </c>
    </row>
    <row r="8" spans="1:3" ht="17.100000000000001" customHeight="1" x14ac:dyDescent="0.25">
      <c r="A8" s="55" t="s">
        <v>65</v>
      </c>
      <c r="B8" s="54"/>
      <c r="C8" s="54"/>
    </row>
    <row r="9" spans="1:3" ht="17.100000000000001" customHeight="1" x14ac:dyDescent="0.25">
      <c r="A9" s="56" t="s">
        <v>66</v>
      </c>
      <c r="B9" s="54">
        <f>(BS_3Y_SME!B14-BS_3Y_SME!C14)</f>
        <v>-50</v>
      </c>
      <c r="C9" s="54">
        <f>(BS_3Y_SME!C14-BS_3Y_SME!D14)</f>
        <v>-50</v>
      </c>
    </row>
    <row r="10" spans="1:3" ht="17.100000000000001" customHeight="1" x14ac:dyDescent="0.25">
      <c r="A10" s="56" t="s">
        <v>67</v>
      </c>
      <c r="B10" s="54">
        <f>(BS_3Y_SME!B16-BS_3Y_SME!C16)</f>
        <v>-200</v>
      </c>
      <c r="C10" s="54">
        <f>(BS_3Y_SME!C16-BS_3Y_SME!D16)</f>
        <v>-100</v>
      </c>
    </row>
    <row r="11" spans="1:3" ht="17.100000000000001" customHeight="1" x14ac:dyDescent="0.25">
      <c r="A11" s="56" t="s">
        <v>68</v>
      </c>
      <c r="B11" s="54">
        <f>(BS_3Y_SME!B18-BS_3Y_SME!C18)</f>
        <v>-10</v>
      </c>
      <c r="C11" s="54">
        <f>(BS_3Y_SME!C18-BS_3Y_SME!D18)</f>
        <v>-5</v>
      </c>
    </row>
    <row r="12" spans="1:3" ht="17.100000000000001" customHeight="1" x14ac:dyDescent="0.25">
      <c r="A12" s="56" t="s">
        <v>69</v>
      </c>
      <c r="B12" s="54">
        <f>(BS_3Y_SME!C36-BS_3Y_SME!B36)</f>
        <v>138</v>
      </c>
      <c r="C12" s="54">
        <f>(BS_3Y_SME!D36-BS_3Y_SME!C36)</f>
        <v>-92</v>
      </c>
    </row>
    <row r="13" spans="1:3" ht="17.100000000000001" customHeight="1" x14ac:dyDescent="0.25">
      <c r="A13" s="56" t="s">
        <v>70</v>
      </c>
      <c r="B13" s="54">
        <f>(BS_3Y_SME!C37-BS_3Y_SME!B37)</f>
        <v>100</v>
      </c>
      <c r="C13" s="54">
        <f>(BS_3Y_SME!D37-BS_3Y_SME!C37)</f>
        <v>-180</v>
      </c>
    </row>
    <row r="14" spans="1:3" ht="17.100000000000001" customHeight="1" x14ac:dyDescent="0.25">
      <c r="A14" s="56" t="s">
        <v>71</v>
      </c>
      <c r="B14" s="54">
        <f>(BS_3Y_SME!C39-BS_3Y_SME!B39)</f>
        <v>1</v>
      </c>
      <c r="C14" s="54">
        <f>(BS_3Y_SME!D39-BS_3Y_SME!C39)</f>
        <v>1</v>
      </c>
    </row>
    <row r="15" spans="1:3" ht="17.100000000000001" customHeight="1" x14ac:dyDescent="0.25">
      <c r="A15" s="2"/>
      <c r="B15" s="54"/>
      <c r="C15" s="54"/>
    </row>
    <row r="16" spans="1:3" ht="17.100000000000001" customHeight="1" x14ac:dyDescent="0.25">
      <c r="A16" s="1" t="s">
        <v>72</v>
      </c>
      <c r="B16" s="57">
        <f>SUM(B5:B14)</f>
        <v>240.25</v>
      </c>
      <c r="C16" s="57">
        <f>SUM(C5:C14)</f>
        <v>-101.25</v>
      </c>
    </row>
    <row r="17" spans="1:3" ht="17.100000000000001" customHeight="1" x14ac:dyDescent="0.25">
      <c r="A17" s="2" t="s">
        <v>73</v>
      </c>
      <c r="B17" s="54">
        <f>(BS_3Y_SME!B6-BS_3Y_SME!C6-PL_3Y_SME!C13)</f>
        <v>-500</v>
      </c>
      <c r="C17" s="54">
        <f>(BS_3Y_SME!C6-BS_3Y_SME!D6-PL_3Y_SME!D13)</f>
        <v>-25</v>
      </c>
    </row>
    <row r="18" spans="1:3" ht="17.100000000000001" customHeight="1" x14ac:dyDescent="0.25">
      <c r="A18" s="1" t="s">
        <v>62</v>
      </c>
      <c r="B18" s="57">
        <f>B16+B17</f>
        <v>-259.75</v>
      </c>
      <c r="C18" s="57">
        <f>C16+C17</f>
        <v>-126.25</v>
      </c>
    </row>
    <row r="19" spans="1:3" x14ac:dyDescent="0.25">
      <c r="A19" s="2" t="s">
        <v>74</v>
      </c>
      <c r="B19" s="54">
        <f>PL_3Y_SME!C16*(1-25%)</f>
        <v>-7.5</v>
      </c>
      <c r="C19" s="54">
        <f>PL_3Y_SME!D16*(1-25%)</f>
        <v>-11.25</v>
      </c>
    </row>
    <row r="20" spans="1:3" x14ac:dyDescent="0.25">
      <c r="A20" s="58" t="s">
        <v>75</v>
      </c>
      <c r="B20" s="54">
        <f>(BS_3Y_SME!C29-BS_3Y_SME!B29+BS_3Y_SME!C35-BS_3Y_SME!B35)</f>
        <v>600</v>
      </c>
      <c r="C20" s="54">
        <f>(BS_3Y_SME!D29-BS_3Y_SME!C29+BS_3Y_SME!D35-BS_3Y_SME!C35)</f>
        <v>100</v>
      </c>
    </row>
    <row r="21" spans="1:3" x14ac:dyDescent="0.25">
      <c r="A21" s="1" t="s">
        <v>76</v>
      </c>
      <c r="B21" s="59">
        <f>SUM(B18:B20)</f>
        <v>332.75</v>
      </c>
      <c r="C21" s="59">
        <f>SUM(C18:C20)</f>
        <v>-37.5</v>
      </c>
    </row>
  </sheetData>
  <sheetProtection algorithmName="SHA-512" hashValue="fCfHoZBxVIsvrZMvP6CHAT/E4uIAel/+VOCJYmTI3uer9KXMW0KQHs3zJ7xJcoOSaLWGAlK9V3KXeAa7ldKE/w==" saltValue="+Q11BwQrIEc3PsvQ+6q+nA==" spinCount="100000" sheet="1" objects="1" scenarios="1" selectLockedCells="1"/>
  <pageMargins left="0.75" right="0.75" top="1" bottom="1" header="0.5" footer="0.5"/>
  <pageSetup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2060"/>
  </sheetPr>
  <dimension ref="A1:F31"/>
  <sheetViews>
    <sheetView workbookViewId="0">
      <selection activeCell="H13" sqref="H13"/>
    </sheetView>
  </sheetViews>
  <sheetFormatPr defaultRowHeight="15" x14ac:dyDescent="0.25"/>
  <cols>
    <col min="1" max="1" width="30.28515625" style="45" bestFit="1" customWidth="1"/>
    <col min="2" max="2" width="12" style="45" customWidth="1"/>
    <col min="3" max="3" width="11.140625" style="45" customWidth="1"/>
    <col min="4" max="4" width="43.28515625" style="45" bestFit="1" customWidth="1"/>
    <col min="5" max="5" width="45.28515625" style="45" bestFit="1" customWidth="1"/>
    <col min="6" max="6" width="51.140625" style="45" bestFit="1" customWidth="1"/>
    <col min="7" max="16384" width="9.140625" style="45"/>
  </cols>
  <sheetData>
    <row r="1" spans="1:6" ht="18.75" customHeight="1" x14ac:dyDescent="0.3">
      <c r="A1" s="3" t="s">
        <v>77</v>
      </c>
      <c r="B1" s="7"/>
      <c r="C1" s="7"/>
      <c r="D1" s="7"/>
      <c r="E1" s="7"/>
      <c r="F1" s="4"/>
    </row>
    <row r="2" spans="1:6" ht="18.75" customHeight="1" x14ac:dyDescent="0.3">
      <c r="A2" s="3" t="s">
        <v>218</v>
      </c>
      <c r="B2" s="7"/>
      <c r="C2" s="7"/>
      <c r="D2" s="7"/>
      <c r="E2" s="7"/>
      <c r="F2" s="4"/>
    </row>
    <row r="3" spans="1:6" x14ac:dyDescent="0.25">
      <c r="A3" s="4"/>
      <c r="B3" s="4"/>
      <c r="C3" s="4"/>
      <c r="D3" s="4"/>
      <c r="E3" s="4"/>
      <c r="F3" s="4"/>
    </row>
    <row r="4" spans="1:6" ht="36.75" customHeight="1" x14ac:dyDescent="0.25">
      <c r="A4" s="5" t="s">
        <v>78</v>
      </c>
      <c r="B4" s="46" t="s">
        <v>79</v>
      </c>
      <c r="C4" s="46" t="s">
        <v>80</v>
      </c>
      <c r="D4" s="5" t="s">
        <v>81</v>
      </c>
      <c r="E4" s="5" t="s">
        <v>82</v>
      </c>
      <c r="F4" s="5" t="s">
        <v>83</v>
      </c>
    </row>
    <row r="5" spans="1:6" ht="18" customHeight="1" x14ac:dyDescent="0.25">
      <c r="A5" s="2" t="s">
        <v>84</v>
      </c>
      <c r="B5" s="47">
        <f>IFERROR((BS_3Y_SME!B16+BS_3Y_SME!C16)/2/PL_3Y_SME!C6*365,0)</f>
        <v>54.613466334164592</v>
      </c>
      <c r="C5" s="47">
        <f>IFERROR((BS_3Y_SME!C16+BS_3Y_SME!D16)/2/PL_3Y_SME!D6*365,0)</f>
        <v>65.621254494606475</v>
      </c>
      <c r="D5" s="2" t="s">
        <v>85</v>
      </c>
      <c r="E5" s="2" t="s">
        <v>86</v>
      </c>
      <c r="F5" s="2" t="s">
        <v>87</v>
      </c>
    </row>
    <row r="6" spans="1:6" ht="18" customHeight="1" x14ac:dyDescent="0.25">
      <c r="A6" s="2" t="s">
        <v>88</v>
      </c>
      <c r="B6" s="48">
        <f>(BS_3Y_SME!B14+BS_3Y_SME!C14)/2/PL_3Y_SME!C7*365</f>
        <v>28.515625</v>
      </c>
      <c r="C6" s="48">
        <f>(BS_3Y_SME!C14+BS_3Y_SME!D14)/2/PL_3Y_SME!D7*365</f>
        <v>31.937499999999996</v>
      </c>
      <c r="D6" s="2" t="s">
        <v>89</v>
      </c>
      <c r="E6" s="2" t="s">
        <v>90</v>
      </c>
      <c r="F6" s="2" t="s">
        <v>91</v>
      </c>
    </row>
    <row r="7" spans="1:6" ht="18" customHeight="1" x14ac:dyDescent="0.25">
      <c r="A7" s="2" t="s">
        <v>92</v>
      </c>
      <c r="B7" s="47">
        <f>(BS_3Y_SME!B36+BS_3Y_SME!C36)/2/PL_3Y_SME!C7*365</f>
        <v>54.521875000000001</v>
      </c>
      <c r="C7" s="48">
        <f>(BS_3Y_SME!C36+BS_3Y_SME!D36)/2/PL_3Y_SME!D7*365</f>
        <v>47.815000000000005</v>
      </c>
      <c r="D7" s="2" t="s">
        <v>93</v>
      </c>
      <c r="E7" s="2" t="s">
        <v>94</v>
      </c>
      <c r="F7" s="2" t="s">
        <v>95</v>
      </c>
    </row>
    <row r="8" spans="1:6" ht="18" customHeight="1" x14ac:dyDescent="0.25">
      <c r="A8" s="2" t="s">
        <v>96</v>
      </c>
      <c r="B8" s="47">
        <f>B5+B6-B7</f>
        <v>28.607216334164598</v>
      </c>
      <c r="C8" s="47">
        <f>C5+C6-C7</f>
        <v>49.74375449460647</v>
      </c>
      <c r="D8" s="2" t="s">
        <v>97</v>
      </c>
      <c r="E8" s="2" t="s">
        <v>98</v>
      </c>
      <c r="F8" s="2" t="s">
        <v>99</v>
      </c>
    </row>
    <row r="9" spans="1:6" ht="54" customHeight="1" x14ac:dyDescent="0.25">
      <c r="A9" s="49" t="s">
        <v>100</v>
      </c>
      <c r="B9" s="50">
        <f>(BS_3Y_SME!C14+BS_3Y_SME!C16+BS_3Y_SME!C18-BS_3Y_SME!C36-BS_3Y_SME!C37-BS_3Y_SME!C38-BS_3Y_SME!C39)/PL_3Y_SME!C4</f>
        <v>-2.1999999999999999E-2</v>
      </c>
      <c r="C9" s="50">
        <f>(BS_3Y_SME!D14+BS_3Y_SME!D16+BS_3Y_SME!D18-BS_3Y_SME!D36-BS_3Y_SME!D37-BS_3Y_SME!D38-BS_3Y_SME!D39)/PL_3Y_SME!D4</f>
        <v>0.15279999999999999</v>
      </c>
      <c r="D9" s="51" t="s">
        <v>101</v>
      </c>
      <c r="E9" s="49" t="s">
        <v>102</v>
      </c>
      <c r="F9" s="49" t="s">
        <v>103</v>
      </c>
    </row>
    <row r="10" spans="1:6" ht="18" customHeight="1" x14ac:dyDescent="0.25">
      <c r="A10" s="2"/>
      <c r="B10" s="2"/>
      <c r="C10" s="2"/>
      <c r="D10" s="2"/>
      <c r="E10" s="2"/>
      <c r="F10" s="2"/>
    </row>
    <row r="11" spans="1:6" x14ac:dyDescent="0.25">
      <c r="A11"/>
      <c r="B11"/>
      <c r="C11"/>
      <c r="D11"/>
      <c r="E11"/>
      <c r="F11"/>
    </row>
    <row r="12" spans="1:6" x14ac:dyDescent="0.25">
      <c r="A12"/>
      <c r="B12"/>
      <c r="C12"/>
      <c r="D12"/>
      <c r="E12"/>
      <c r="F12"/>
    </row>
    <row r="13" spans="1:6" x14ac:dyDescent="0.25">
      <c r="A13"/>
      <c r="B13"/>
      <c r="C13"/>
      <c r="D13"/>
      <c r="E13"/>
      <c r="F13"/>
    </row>
    <row r="14" spans="1:6" x14ac:dyDescent="0.25">
      <c r="A14"/>
      <c r="B14"/>
      <c r="C14"/>
      <c r="D14"/>
      <c r="E14"/>
      <c r="F14"/>
    </row>
    <row r="15" spans="1:6" x14ac:dyDescent="0.25">
      <c r="A15"/>
      <c r="B15"/>
      <c r="C15"/>
      <c r="D15"/>
      <c r="E15"/>
      <c r="F15"/>
    </row>
    <row r="16" spans="1:6" x14ac:dyDescent="0.25">
      <c r="A16"/>
      <c r="B16"/>
      <c r="C16"/>
      <c r="D16"/>
      <c r="E16"/>
      <c r="F16"/>
    </row>
    <row r="17" spans="1:6" x14ac:dyDescent="0.25">
      <c r="A17"/>
      <c r="B17"/>
      <c r="C17"/>
      <c r="D17"/>
      <c r="E17"/>
      <c r="F17"/>
    </row>
    <row r="18" spans="1:6" x14ac:dyDescent="0.25">
      <c r="A18"/>
      <c r="B18"/>
      <c r="C18"/>
      <c r="D18"/>
      <c r="E18"/>
      <c r="F18"/>
    </row>
    <row r="19" spans="1:6" x14ac:dyDescent="0.25">
      <c r="A19"/>
      <c r="B19"/>
      <c r="C19"/>
      <c r="D19"/>
      <c r="E19"/>
      <c r="F19"/>
    </row>
    <row r="20" spans="1:6" x14ac:dyDescent="0.25">
      <c r="A20"/>
      <c r="B20"/>
      <c r="C20"/>
      <c r="D20"/>
      <c r="E20"/>
      <c r="F20"/>
    </row>
    <row r="21" spans="1:6" x14ac:dyDescent="0.25">
      <c r="A21"/>
      <c r="B21"/>
      <c r="C21"/>
      <c r="D21"/>
      <c r="E21"/>
      <c r="F21"/>
    </row>
    <row r="22" spans="1:6" x14ac:dyDescent="0.25">
      <c r="A22"/>
      <c r="B22"/>
      <c r="C22"/>
      <c r="D22"/>
      <c r="E22"/>
      <c r="F22"/>
    </row>
    <row r="23" spans="1:6" x14ac:dyDescent="0.25">
      <c r="A23"/>
      <c r="B23"/>
      <c r="C23"/>
      <c r="D23"/>
      <c r="E23"/>
      <c r="F23"/>
    </row>
    <row r="24" spans="1:6" x14ac:dyDescent="0.25">
      <c r="A24"/>
      <c r="B24"/>
      <c r="C24"/>
      <c r="D24"/>
      <c r="E24"/>
      <c r="F24"/>
    </row>
    <row r="25" spans="1:6" x14ac:dyDescent="0.25">
      <c r="A25"/>
      <c r="B25"/>
      <c r="C25"/>
      <c r="D25"/>
      <c r="E25"/>
      <c r="F25"/>
    </row>
    <row r="26" spans="1:6" x14ac:dyDescent="0.25">
      <c r="A26"/>
      <c r="B26"/>
      <c r="C26"/>
      <c r="D26"/>
      <c r="E26"/>
      <c r="F26"/>
    </row>
    <row r="27" spans="1:6" x14ac:dyDescent="0.25">
      <c r="A27"/>
      <c r="B27"/>
      <c r="C27"/>
      <c r="D27"/>
      <c r="E27"/>
      <c r="F27"/>
    </row>
    <row r="28" spans="1:6" x14ac:dyDescent="0.25">
      <c r="A28"/>
      <c r="B28"/>
      <c r="C28"/>
      <c r="D28"/>
      <c r="E28"/>
      <c r="F28"/>
    </row>
    <row r="29" spans="1:6" x14ac:dyDescent="0.25">
      <c r="A29"/>
      <c r="B29"/>
      <c r="C29"/>
      <c r="D29"/>
      <c r="E29"/>
      <c r="F29"/>
    </row>
    <row r="30" spans="1:6" x14ac:dyDescent="0.25">
      <c r="A30"/>
      <c r="B30"/>
      <c r="C30"/>
      <c r="D30"/>
      <c r="E30"/>
      <c r="F30"/>
    </row>
    <row r="31" spans="1:6" x14ac:dyDescent="0.25">
      <c r="A31"/>
      <c r="B31"/>
      <c r="C31"/>
      <c r="D31"/>
      <c r="E31"/>
      <c r="F31"/>
    </row>
  </sheetData>
  <sheetProtection algorithmName="SHA-512" hashValue="C8ORb3WxGafOoyUp6iNkLTb9k1wOcJYlPuKYnWscLKt5eDIqqu5OlwtbFSEeFR7kDTWpO+hy+Ft40G6XK1cgZQ==" saltValue="wM3tfmiV54abCMZKhREPSw==" spinCount="100000" sheet="1" objects="1" scenarios="1" selectLockedCells="1"/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1:H28"/>
  <sheetViews>
    <sheetView workbookViewId="0">
      <pane ySplit="4" topLeftCell="A10" activePane="bottomLeft" state="frozen"/>
      <selection pane="bottomLeft" activeCell="G1" sqref="G1"/>
    </sheetView>
  </sheetViews>
  <sheetFormatPr defaultRowHeight="15" x14ac:dyDescent="0.25"/>
  <cols>
    <col min="1" max="1" width="65.5703125" style="45" customWidth="1"/>
    <col min="2" max="2" width="12.5703125" style="45" customWidth="1"/>
    <col min="3" max="3" width="13.85546875" style="45" customWidth="1"/>
    <col min="4" max="4" width="44" style="45" bestFit="1" customWidth="1"/>
    <col min="5" max="5" width="22.5703125" style="45" customWidth="1"/>
    <col min="6" max="6" width="41.28515625" style="45" customWidth="1"/>
    <col min="7" max="16384" width="9.140625" style="45"/>
  </cols>
  <sheetData>
    <row r="1" spans="1:6" ht="18.75" customHeight="1" x14ac:dyDescent="0.3">
      <c r="A1" s="3" t="s">
        <v>104</v>
      </c>
      <c r="B1" s="4"/>
      <c r="C1" s="4"/>
      <c r="D1" s="4"/>
      <c r="E1" s="4"/>
      <c r="F1" s="4"/>
    </row>
    <row r="2" spans="1:6" ht="18.75" customHeight="1" x14ac:dyDescent="0.3">
      <c r="A2" s="3" t="s">
        <v>217</v>
      </c>
      <c r="B2" s="4"/>
      <c r="C2" s="4"/>
      <c r="D2" s="4"/>
      <c r="E2" s="4"/>
      <c r="F2" s="4"/>
    </row>
    <row r="3" spans="1:6" x14ac:dyDescent="0.25">
      <c r="A3" s="4"/>
      <c r="B3" s="4"/>
      <c r="C3" s="4"/>
      <c r="D3" s="4"/>
      <c r="E3" s="4"/>
      <c r="F3" s="4"/>
    </row>
    <row r="4" spans="1:6" x14ac:dyDescent="0.25">
      <c r="A4" s="5" t="s">
        <v>78</v>
      </c>
      <c r="B4" s="6" t="s">
        <v>3</v>
      </c>
      <c r="C4" s="6" t="s">
        <v>4</v>
      </c>
      <c r="D4" s="5" t="s">
        <v>202</v>
      </c>
      <c r="E4" s="5" t="s">
        <v>105</v>
      </c>
      <c r="F4" s="5" t="s">
        <v>83</v>
      </c>
    </row>
    <row r="5" spans="1:6" x14ac:dyDescent="0.25">
      <c r="A5" s="61" t="s">
        <v>106</v>
      </c>
      <c r="B5" s="62"/>
      <c r="C5" s="62"/>
      <c r="D5" s="62"/>
      <c r="E5" s="62"/>
      <c r="F5" s="62"/>
    </row>
    <row r="6" spans="1:6" ht="30" customHeight="1" x14ac:dyDescent="0.25">
      <c r="A6" s="49" t="s">
        <v>107</v>
      </c>
      <c r="B6" s="63">
        <f>(BS_3Y_SME!C19/BS_3Y_SME!C40)</f>
        <v>0.97402597402597402</v>
      </c>
      <c r="C6" s="63">
        <f>(BS_3Y_SME!D19/BS_3Y_SME!D40)</f>
        <v>2.3509933774834435</v>
      </c>
      <c r="D6" s="49" t="s">
        <v>108</v>
      </c>
      <c r="E6" s="49" t="s">
        <v>109</v>
      </c>
      <c r="F6" s="51" t="s">
        <v>110</v>
      </c>
    </row>
    <row r="7" spans="1:6" ht="30" customHeight="1" x14ac:dyDescent="0.25">
      <c r="A7" s="49" t="s">
        <v>111</v>
      </c>
      <c r="B7" s="63">
        <f>(BS_3Y_SME!C19-BS_3Y_SME!C14)/BS_3Y_SME!C40</f>
        <v>0.81168831168831168</v>
      </c>
      <c r="C7" s="63">
        <f>(BS_3Y_SME!D19-BS_3Y_SME!D14)/BS_3Y_SME!D40</f>
        <v>1.9094922737306843</v>
      </c>
      <c r="D7" s="49" t="s">
        <v>112</v>
      </c>
      <c r="E7" s="49" t="s">
        <v>113</v>
      </c>
      <c r="F7" s="51" t="s">
        <v>114</v>
      </c>
    </row>
    <row r="8" spans="1:6" ht="30" customHeight="1" x14ac:dyDescent="0.25">
      <c r="A8" s="49" t="s">
        <v>115</v>
      </c>
      <c r="B8" s="63">
        <f>(BS_3Y_SME!C15+BS_3Y_SME!C17)/BS_3Y_SME!C40</f>
        <v>0.34632034632034631</v>
      </c>
      <c r="C8" s="63">
        <f>(BS_3Y_SME!D15+BS_3Y_SME!D17)/BS_3Y_SME!D40</f>
        <v>0.72847682119205293</v>
      </c>
      <c r="D8" s="49" t="s">
        <v>116</v>
      </c>
      <c r="E8" s="49" t="s">
        <v>117</v>
      </c>
      <c r="F8" s="51" t="s">
        <v>118</v>
      </c>
    </row>
    <row r="9" spans="1:6" x14ac:dyDescent="0.25">
      <c r="A9" s="61" t="s">
        <v>119</v>
      </c>
      <c r="B9" s="62"/>
      <c r="C9" s="62"/>
      <c r="D9" s="62"/>
      <c r="E9" s="62"/>
      <c r="F9" s="62"/>
    </row>
    <row r="10" spans="1:6" x14ac:dyDescent="0.25">
      <c r="A10" s="49" t="s">
        <v>120</v>
      </c>
      <c r="B10" s="64">
        <f>(PL_3Y_SME!C6-PL_3Y_SME!C7)/PL_3Y_SME!C4</f>
        <v>0.20250000000000001</v>
      </c>
      <c r="C10" s="64">
        <f>(PL_3Y_SME!D6-PL_3Y_SME!D7)/PL_3Y_SME!D4</f>
        <v>0.20119999999999999</v>
      </c>
      <c r="D10" s="49" t="s">
        <v>121</v>
      </c>
      <c r="E10" s="49" t="s">
        <v>122</v>
      </c>
      <c r="F10" s="49" t="s">
        <v>123</v>
      </c>
    </row>
    <row r="11" spans="1:6" ht="30" customHeight="1" x14ac:dyDescent="0.25">
      <c r="A11" s="49" t="s">
        <v>124</v>
      </c>
      <c r="B11" s="64">
        <f>PL_3Y_SME!C11/PL_3Y_SME!C4</f>
        <v>0.17</v>
      </c>
      <c r="C11" s="64">
        <f>PL_3Y_SME!D11/PL_3Y_SME!D4</f>
        <v>0.16919999999999999</v>
      </c>
      <c r="D11" s="49" t="s">
        <v>125</v>
      </c>
      <c r="E11" s="49" t="s">
        <v>126</v>
      </c>
      <c r="F11" s="51" t="s">
        <v>127</v>
      </c>
    </row>
    <row r="12" spans="1:6" ht="30" customHeight="1" x14ac:dyDescent="0.25">
      <c r="A12" s="49" t="s">
        <v>128</v>
      </c>
      <c r="B12" s="64">
        <f>PL_3Y_SME!C14/PL_3Y_SME!C4</f>
        <v>0.1575</v>
      </c>
      <c r="C12" s="64">
        <f>PL_3Y_SME!D14/PL_3Y_SME!D4</f>
        <v>0.15720000000000001</v>
      </c>
      <c r="D12" s="49" t="s">
        <v>129</v>
      </c>
      <c r="E12" s="49" t="s">
        <v>126</v>
      </c>
      <c r="F12" s="51" t="s">
        <v>130</v>
      </c>
    </row>
    <row r="13" spans="1:6" x14ac:dyDescent="0.25">
      <c r="A13" s="49" t="s">
        <v>23</v>
      </c>
      <c r="B13" s="64">
        <f>PL_3Y_SME!C19/PL_3Y_SME!C4</f>
        <v>0.159</v>
      </c>
      <c r="C13" s="64">
        <f>PL_3Y_SME!D19/PL_3Y_SME!D4</f>
        <v>0.15920000000000001</v>
      </c>
      <c r="D13" s="49" t="s">
        <v>131</v>
      </c>
      <c r="E13" s="49" t="s">
        <v>132</v>
      </c>
      <c r="F13" s="49" t="s">
        <v>133</v>
      </c>
    </row>
    <row r="14" spans="1:6" ht="30" customHeight="1" x14ac:dyDescent="0.25">
      <c r="A14" s="49" t="s">
        <v>134</v>
      </c>
      <c r="B14" s="64">
        <f>PL_3Y_SME!C14/(BS_3Y_SME!C26+BS_3Y_SME!C29)</f>
        <v>5.2799195440831379E-2</v>
      </c>
      <c r="C14" s="64">
        <f>PL_3Y_SME!D14/(BS_3Y_SME!D26+BS_3Y_SME!D29)</f>
        <v>5.8973589435774312E-2</v>
      </c>
      <c r="D14" s="51" t="s">
        <v>135</v>
      </c>
      <c r="E14" s="49" t="s">
        <v>136</v>
      </c>
      <c r="F14" s="51" t="s">
        <v>137</v>
      </c>
    </row>
    <row r="15" spans="1:6" x14ac:dyDescent="0.25">
      <c r="A15" s="49" t="s">
        <v>138</v>
      </c>
      <c r="B15" s="64">
        <f>PL_3Y_SME!C19/((BS_3Y_SME!B26+BS_3Y_SME!C26)/2)</f>
        <v>8.9401180770312061E-2</v>
      </c>
      <c r="C15" s="64">
        <f>PL_3Y_SME!D19/((BS_3Y_SME!C26+BS_3Y_SME!D26)/2)</f>
        <v>0.10859481582537517</v>
      </c>
      <c r="D15" s="49" t="s">
        <v>139</v>
      </c>
      <c r="E15" s="49" t="s">
        <v>136</v>
      </c>
      <c r="F15" s="49" t="s">
        <v>140</v>
      </c>
    </row>
    <row r="16" spans="1:6" x14ac:dyDescent="0.25">
      <c r="A16" s="61" t="s">
        <v>141</v>
      </c>
      <c r="B16" s="62"/>
      <c r="C16" s="62"/>
      <c r="D16" s="62"/>
      <c r="E16" s="62"/>
      <c r="F16" s="62"/>
    </row>
    <row r="17" spans="1:8" x14ac:dyDescent="0.25">
      <c r="A17" s="49" t="s">
        <v>142</v>
      </c>
      <c r="B17" s="65">
        <f>PL_3Y_SME!C6/BS_3Y_SME!C21</f>
        <v>0.28994938539407084</v>
      </c>
      <c r="C17" s="65">
        <f>PL_3Y_SME!D6/BS_3Y_SME!D21</f>
        <v>0.34788047255038224</v>
      </c>
      <c r="D17" s="49" t="s">
        <v>143</v>
      </c>
      <c r="E17" s="49" t="s">
        <v>144</v>
      </c>
      <c r="F17" s="49" t="s">
        <v>145</v>
      </c>
    </row>
    <row r="18" spans="1:8" x14ac:dyDescent="0.25">
      <c r="A18" s="49" t="s">
        <v>146</v>
      </c>
      <c r="B18" s="65">
        <f>PL_3Y_SME!C6/((BS_3Y_SME!B16+BS_3Y_SME!C16)/2)</f>
        <v>6.6833333333333336</v>
      </c>
      <c r="C18" s="65">
        <f>PL_3Y_SME!D6/((BS_3Y_SME!C16+BS_3Y_SME!D16)/2)</f>
        <v>5.5622222222222222</v>
      </c>
      <c r="D18" s="49" t="s">
        <v>147</v>
      </c>
      <c r="E18" s="49" t="s">
        <v>126</v>
      </c>
      <c r="F18" s="49" t="s">
        <v>148</v>
      </c>
      <c r="H18" s="60"/>
    </row>
    <row r="19" spans="1:8" x14ac:dyDescent="0.25">
      <c r="A19" s="49" t="s">
        <v>149</v>
      </c>
      <c r="B19" s="65">
        <f>PL_3Y_SME!C7/((BS_3Y_SME!B14+BS_3Y_SME!C14)/2)</f>
        <v>12.8</v>
      </c>
      <c r="C19" s="65">
        <f>PL_3Y_SME!D7/((BS_3Y_SME!C14+BS_3Y_SME!D14)/2)</f>
        <v>11.428571428571429</v>
      </c>
      <c r="D19" s="49" t="s">
        <v>150</v>
      </c>
      <c r="E19" s="49" t="s">
        <v>126</v>
      </c>
      <c r="F19" s="49" t="s">
        <v>151</v>
      </c>
    </row>
    <row r="20" spans="1:8" x14ac:dyDescent="0.25">
      <c r="A20" s="49" t="s">
        <v>152</v>
      </c>
      <c r="B20" s="65">
        <f>PL_3Y_SME!C7/((BS_3Y_SME!B36+BS_3Y_SME!C36)/2)</f>
        <v>6.6945606694560666</v>
      </c>
      <c r="C20" s="65">
        <f>PL_3Y_SME!D7/((BS_3Y_SME!C36+BS_3Y_SME!D36)/2)</f>
        <v>7.6335877862595423</v>
      </c>
      <c r="D20" s="49" t="s">
        <v>153</v>
      </c>
      <c r="E20" s="49" t="s">
        <v>154</v>
      </c>
      <c r="F20" s="51" t="s">
        <v>155</v>
      </c>
    </row>
    <row r="21" spans="1:8" x14ac:dyDescent="0.25">
      <c r="A21" s="61" t="s">
        <v>156</v>
      </c>
      <c r="B21" s="62"/>
      <c r="C21" s="62"/>
      <c r="D21" s="62"/>
      <c r="E21" s="62"/>
      <c r="F21" s="62"/>
    </row>
    <row r="22" spans="1:8" x14ac:dyDescent="0.25">
      <c r="A22" s="49" t="s">
        <v>157</v>
      </c>
      <c r="B22" s="66">
        <f>(BS_3Y_SME!C29+BS_3Y_SME!C35)/BS_3Y_SME!C26</f>
        <v>0.80784766301211774</v>
      </c>
      <c r="C22" s="66">
        <f>(BS_3Y_SME!D29+BS_3Y_SME!D35)/BS_3Y_SME!D26</f>
        <v>0.75051759834368525</v>
      </c>
      <c r="D22" s="49" t="s">
        <v>158</v>
      </c>
      <c r="E22" s="49" t="s">
        <v>159</v>
      </c>
      <c r="F22" s="49" t="s">
        <v>160</v>
      </c>
    </row>
    <row r="23" spans="1:8" ht="30" customHeight="1" x14ac:dyDescent="0.25">
      <c r="A23" s="49" t="s">
        <v>161</v>
      </c>
      <c r="B23" s="67">
        <f>(BS_3Y_SME!C32+BS_3Y_SME!C40)/BS_3Y_SME!C26</f>
        <v>0.99509521061742645</v>
      </c>
      <c r="C23" s="67">
        <f>(BS_3Y_SME!D32+BS_3Y_SME!D40)/BS_3Y_SME!D26</f>
        <v>0.86206004140786752</v>
      </c>
      <c r="D23" s="49" t="s">
        <v>162</v>
      </c>
      <c r="E23" s="49" t="s">
        <v>163</v>
      </c>
      <c r="F23" s="51" t="s">
        <v>164</v>
      </c>
    </row>
    <row r="24" spans="1:8" ht="30" customHeight="1" x14ac:dyDescent="0.25">
      <c r="A24" s="49" t="s">
        <v>165</v>
      </c>
      <c r="B24" s="66">
        <f>(BS_3Y_SME!C29+BS_3Y_SME!C35-BS_3Y_SME!C17)/PL_3Y_SME!C11</f>
        <v>7.3529411764705879</v>
      </c>
      <c r="C24" s="66">
        <f>(BS_3Y_SME!D29+BS_3Y_SME!D35-BS_3Y_SME!D17)/PL_3Y_SME!D11</f>
        <v>6.1465721040189125</v>
      </c>
      <c r="D24" s="49" t="s">
        <v>166</v>
      </c>
      <c r="E24" s="51" t="s">
        <v>167</v>
      </c>
      <c r="F24" s="51" t="s">
        <v>168</v>
      </c>
    </row>
    <row r="25" spans="1:8" ht="30" customHeight="1" x14ac:dyDescent="0.25">
      <c r="A25" s="49" t="s">
        <v>169</v>
      </c>
      <c r="B25" s="66">
        <f>-PL_3Y_SME!C14/PL_3Y_SME!C16</f>
        <v>31.5</v>
      </c>
      <c r="C25" s="66">
        <f>-PL_3Y_SME!D14/PL_3Y_SME!D16</f>
        <v>26.2</v>
      </c>
      <c r="D25" s="49" t="s">
        <v>170</v>
      </c>
      <c r="E25" s="49" t="s">
        <v>171</v>
      </c>
      <c r="F25" s="51" t="s">
        <v>172</v>
      </c>
    </row>
    <row r="26" spans="1:8" ht="30" customHeight="1" x14ac:dyDescent="0.25">
      <c r="A26" s="49" t="s">
        <v>173</v>
      </c>
      <c r="B26" s="66">
        <f>-PL_3Y_SME!C11/(PL_3Y_SME!C16-BS_3Y_SME!B35)</f>
        <v>1.6190476190476191</v>
      </c>
      <c r="C26" s="66">
        <f>-PL_3Y_SME!D11/(PL_3Y_SME!D16-BS_3Y_SME!C35)</f>
        <v>1.3428571428571427</v>
      </c>
      <c r="D26" s="49" t="s">
        <v>174</v>
      </c>
      <c r="E26" s="49" t="s">
        <v>175</v>
      </c>
      <c r="F26" s="51" t="s">
        <v>176</v>
      </c>
    </row>
    <row r="27" spans="1:8" x14ac:dyDescent="0.25">
      <c r="A27"/>
      <c r="B27"/>
      <c r="C27"/>
      <c r="D27"/>
      <c r="E27"/>
      <c r="F27"/>
    </row>
    <row r="28" spans="1:8" x14ac:dyDescent="0.25">
      <c r="A28"/>
      <c r="B28"/>
      <c r="C28"/>
      <c r="D28"/>
      <c r="E28"/>
      <c r="F28"/>
    </row>
  </sheetData>
  <sheetProtection algorithmName="SHA-512" hashValue="DFxX8YW1S4eiXwINCvD793xRpuDFB/ApYdC+CBomLX8eFS6aZcd+MstF8aFckgAo4SVpGsJgiH+rmwlU+wHnFA==" saltValue="zmazOFLHW51XFy9ose98uA==" spinCount="100000" sheet="1" objects="1" scenarios="1" selectLockedCell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2060"/>
  </sheetPr>
  <dimension ref="A1:Q61"/>
  <sheetViews>
    <sheetView topLeftCell="A37" workbookViewId="0">
      <selection activeCell="S14" sqref="S14"/>
    </sheetView>
  </sheetViews>
  <sheetFormatPr defaultRowHeight="15" x14ac:dyDescent="0.25"/>
  <cols>
    <col min="1" max="1" width="38.5703125" style="45" customWidth="1"/>
    <col min="2" max="2" width="18" style="45" customWidth="1"/>
    <col min="3" max="3" width="18.28515625" style="45" customWidth="1"/>
    <col min="4" max="16384" width="9.140625" style="45"/>
  </cols>
  <sheetData>
    <row r="1" spans="1:17" x14ac:dyDescent="0.2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21" customHeight="1" x14ac:dyDescent="0.3">
      <c r="A2" s="92" t="s">
        <v>177</v>
      </c>
      <c r="B2" s="92"/>
      <c r="C2" s="92"/>
      <c r="D2" s="68"/>
      <c r="E2" s="68"/>
      <c r="F2" s="68"/>
      <c r="G2"/>
      <c r="H2"/>
      <c r="I2"/>
      <c r="J2"/>
      <c r="K2"/>
      <c r="L2"/>
      <c r="M2"/>
      <c r="N2"/>
      <c r="O2"/>
      <c r="P2"/>
      <c r="Q2"/>
    </row>
    <row r="3" spans="1:17" ht="21" customHeight="1" x14ac:dyDescent="0.3">
      <c r="A3" s="92" t="s">
        <v>217</v>
      </c>
      <c r="B3" s="92"/>
      <c r="C3" s="92"/>
      <c r="D3" s="68"/>
      <c r="E3" s="68"/>
      <c r="F3" s="68"/>
      <c r="G3"/>
      <c r="H3"/>
      <c r="I3"/>
      <c r="J3"/>
      <c r="K3"/>
      <c r="L3"/>
      <c r="M3"/>
      <c r="N3"/>
      <c r="O3"/>
      <c r="P3"/>
      <c r="Q3"/>
    </row>
    <row r="4" spans="1:17" x14ac:dyDescent="0.25">
      <c r="A4" s="4"/>
      <c r="B4" s="4"/>
      <c r="C4" s="4"/>
      <c r="D4" s="4"/>
      <c r="E4" s="4"/>
      <c r="F4" s="4"/>
      <c r="G4"/>
      <c r="H4"/>
      <c r="I4"/>
      <c r="J4"/>
      <c r="K4"/>
      <c r="L4"/>
      <c r="M4"/>
      <c r="N4"/>
      <c r="O4"/>
      <c r="P4"/>
      <c r="Q4"/>
    </row>
    <row r="5" spans="1:17" ht="16.5" customHeight="1" x14ac:dyDescent="0.25">
      <c r="A5" s="69" t="s">
        <v>178</v>
      </c>
      <c r="B5" s="1" t="s">
        <v>3</v>
      </c>
      <c r="C5" s="1" t="s">
        <v>4</v>
      </c>
      <c r="D5" s="4"/>
      <c r="E5" s="4"/>
      <c r="F5" s="4"/>
      <c r="G5"/>
      <c r="H5"/>
      <c r="I5"/>
      <c r="J5"/>
      <c r="K5"/>
      <c r="L5"/>
      <c r="M5"/>
      <c r="N5"/>
      <c r="O5"/>
      <c r="P5"/>
      <c r="Q5"/>
    </row>
    <row r="6" spans="1:17" x14ac:dyDescent="0.25">
      <c r="A6" s="2" t="s">
        <v>179</v>
      </c>
      <c r="B6" s="70">
        <f>PL_3Y_SME!E4</f>
        <v>1</v>
      </c>
      <c r="C6" s="70">
        <f>PL_3Y_SME!F4</f>
        <v>0.25</v>
      </c>
      <c r="D6" s="4"/>
      <c r="E6" s="4"/>
      <c r="F6" s="4"/>
      <c r="G6"/>
      <c r="H6"/>
      <c r="I6"/>
      <c r="J6"/>
      <c r="K6"/>
      <c r="L6"/>
      <c r="M6"/>
      <c r="N6"/>
      <c r="O6"/>
      <c r="P6"/>
      <c r="Q6"/>
    </row>
    <row r="7" spans="1:17" x14ac:dyDescent="0.25">
      <c r="A7" s="2" t="s">
        <v>124</v>
      </c>
      <c r="B7" s="70">
        <f>PL_3Y_SME!C12</f>
        <v>0.16957605985037408</v>
      </c>
      <c r="C7" s="70">
        <f>PL_3Y_SME!D12</f>
        <v>0.16899720335597282</v>
      </c>
      <c r="D7" s="4"/>
      <c r="E7" s="4"/>
      <c r="F7" s="4"/>
      <c r="G7"/>
      <c r="H7"/>
      <c r="I7"/>
      <c r="J7"/>
      <c r="K7"/>
      <c r="L7"/>
      <c r="M7"/>
      <c r="N7"/>
      <c r="O7"/>
      <c r="P7"/>
      <c r="Q7"/>
    </row>
    <row r="8" spans="1:17" x14ac:dyDescent="0.25">
      <c r="A8" s="2" t="s">
        <v>23</v>
      </c>
      <c r="B8" s="70">
        <f>PL_3Y_SME!C20</f>
        <v>0.15860349127182044</v>
      </c>
      <c r="C8" s="70">
        <f>PL_3Y_SME!D20</f>
        <v>0.15900918897323213</v>
      </c>
      <c r="D8" s="4"/>
      <c r="E8" s="4"/>
      <c r="F8" s="4"/>
      <c r="G8"/>
      <c r="H8"/>
      <c r="I8"/>
      <c r="J8"/>
      <c r="K8"/>
      <c r="L8"/>
      <c r="M8"/>
      <c r="N8"/>
      <c r="O8"/>
      <c r="P8"/>
      <c r="Q8"/>
    </row>
    <row r="9" spans="1:17" x14ac:dyDescent="0.25">
      <c r="A9" s="2" t="s">
        <v>134</v>
      </c>
      <c r="B9" s="70">
        <f>'Ratio-KPI'!B14</f>
        <v>5.2799195440831379E-2</v>
      </c>
      <c r="C9" s="70">
        <f>'Ratio-KPI'!C14</f>
        <v>5.8973589435774312E-2</v>
      </c>
      <c r="D9" s="4"/>
      <c r="E9" s="4"/>
      <c r="F9" s="4"/>
      <c r="G9"/>
      <c r="H9"/>
      <c r="I9"/>
      <c r="J9"/>
      <c r="K9"/>
      <c r="L9"/>
      <c r="M9"/>
      <c r="N9"/>
      <c r="O9"/>
      <c r="P9"/>
      <c r="Q9"/>
    </row>
    <row r="10" spans="1:17" x14ac:dyDescent="0.25">
      <c r="A10" s="2" t="s">
        <v>138</v>
      </c>
      <c r="B10" s="70">
        <f>'Ratio-KPI'!B15</f>
        <v>8.9401180770312061E-2</v>
      </c>
      <c r="C10" s="70">
        <f>'Ratio-KPI'!C15</f>
        <v>0.10859481582537517</v>
      </c>
      <c r="D10" s="4"/>
      <c r="E10" s="4"/>
      <c r="F10" s="4"/>
      <c r="G10"/>
      <c r="H10"/>
      <c r="I10"/>
      <c r="J10"/>
      <c r="K10"/>
      <c r="L10"/>
      <c r="M10"/>
      <c r="N10"/>
      <c r="O10"/>
      <c r="P10"/>
      <c r="Q10"/>
    </row>
    <row r="11" spans="1:17" x14ac:dyDescent="0.25">
      <c r="A11" s="2"/>
      <c r="B11" s="70"/>
      <c r="C11" s="70"/>
      <c r="D11" s="4"/>
      <c r="E11" s="4"/>
      <c r="F11" s="4"/>
      <c r="G11"/>
      <c r="H11"/>
      <c r="I11"/>
      <c r="J11"/>
      <c r="K11"/>
      <c r="L11"/>
      <c r="M11"/>
      <c r="N11"/>
      <c r="O11"/>
      <c r="P11"/>
      <c r="Q11"/>
    </row>
    <row r="12" spans="1:17" x14ac:dyDescent="0.25">
      <c r="A12" s="2"/>
      <c r="B12" s="70"/>
      <c r="C12" s="70"/>
      <c r="D12" s="4"/>
      <c r="E12" s="4"/>
      <c r="F12" s="4"/>
      <c r="G12"/>
      <c r="H12"/>
      <c r="I12"/>
      <c r="J12"/>
      <c r="K12"/>
      <c r="L12"/>
      <c r="M12"/>
      <c r="N12"/>
      <c r="O12"/>
      <c r="P12"/>
      <c r="Q12"/>
    </row>
    <row r="13" spans="1:17" x14ac:dyDescent="0.25">
      <c r="A13" s="2"/>
      <c r="B13" s="71"/>
      <c r="C13" s="71"/>
      <c r="D13" s="4"/>
      <c r="E13" s="4"/>
      <c r="F13" s="4"/>
      <c r="G13"/>
      <c r="H13"/>
      <c r="I13"/>
      <c r="J13"/>
      <c r="K13"/>
      <c r="L13"/>
      <c r="M13"/>
      <c r="N13"/>
      <c r="O13"/>
      <c r="P13"/>
      <c r="Q13"/>
    </row>
    <row r="14" spans="1:17" ht="16.5" customHeight="1" x14ac:dyDescent="0.25">
      <c r="A14" s="69" t="s">
        <v>180</v>
      </c>
      <c r="B14" s="52" t="s">
        <v>3</v>
      </c>
      <c r="C14" s="52" t="s">
        <v>4</v>
      </c>
      <c r="D14" s="4"/>
      <c r="E14" s="4"/>
      <c r="F14" s="4"/>
      <c r="G14"/>
      <c r="H14"/>
      <c r="I14"/>
      <c r="J14"/>
      <c r="K14"/>
      <c r="L14"/>
      <c r="M14"/>
      <c r="N14"/>
      <c r="O14"/>
      <c r="P14"/>
      <c r="Q14"/>
    </row>
    <row r="15" spans="1:17" x14ac:dyDescent="0.25">
      <c r="A15" s="2" t="s">
        <v>107</v>
      </c>
      <c r="B15" s="72">
        <f>'Ratio-KPI'!B6</f>
        <v>0.97402597402597402</v>
      </c>
      <c r="C15" s="72">
        <f>'Ratio-KPI'!C6</f>
        <v>2.3509933774834435</v>
      </c>
      <c r="D15" s="4"/>
      <c r="E15" s="4"/>
      <c r="F15" s="4"/>
      <c r="G15"/>
      <c r="H15"/>
      <c r="I15"/>
      <c r="J15"/>
      <c r="K15"/>
      <c r="L15"/>
      <c r="M15"/>
      <c r="N15"/>
      <c r="O15"/>
      <c r="P15"/>
      <c r="Q15"/>
    </row>
    <row r="16" spans="1:17" x14ac:dyDescent="0.25">
      <c r="A16" s="2" t="s">
        <v>111</v>
      </c>
      <c r="B16" s="72">
        <f>'Ratio-KPI'!B7</f>
        <v>0.81168831168831168</v>
      </c>
      <c r="C16" s="72">
        <f>'Ratio-KPI'!C7</f>
        <v>1.9094922737306843</v>
      </c>
      <c r="D16" s="4"/>
      <c r="E16" s="4"/>
      <c r="F16" s="4"/>
      <c r="G16"/>
      <c r="H16"/>
      <c r="I16"/>
      <c r="J16"/>
      <c r="K16"/>
      <c r="L16"/>
      <c r="M16"/>
      <c r="N16"/>
      <c r="O16"/>
      <c r="P16"/>
      <c r="Q16"/>
    </row>
    <row r="17" spans="1:17" x14ac:dyDescent="0.25">
      <c r="A17" s="2" t="str">
        <f>'Ratio-KPI'!A8</f>
        <v>Cash Ratio</v>
      </c>
      <c r="B17" s="72">
        <f>'Ratio-KPI'!B8</f>
        <v>0.34632034632034631</v>
      </c>
      <c r="C17" s="72">
        <f>'Ratio-KPI'!C8</f>
        <v>0.72847682119205293</v>
      </c>
      <c r="D17" s="4"/>
      <c r="E17" s="4"/>
      <c r="F17" s="4"/>
      <c r="G17"/>
      <c r="H17"/>
      <c r="I17"/>
      <c r="J17"/>
      <c r="K17"/>
      <c r="L17"/>
      <c r="M17"/>
      <c r="N17"/>
      <c r="O17"/>
      <c r="P17"/>
      <c r="Q17"/>
    </row>
    <row r="18" spans="1:17" x14ac:dyDescent="0.25">
      <c r="A18" s="2" t="s">
        <v>157</v>
      </c>
      <c r="B18" s="72">
        <f>'Ratio-KPI'!B22</f>
        <v>0.80784766301211774</v>
      </c>
      <c r="C18" s="72">
        <f>'Ratio-KPI'!C22</f>
        <v>0.75051759834368525</v>
      </c>
      <c r="D18" s="4"/>
      <c r="E18" s="4"/>
      <c r="F18" s="4"/>
      <c r="G18"/>
      <c r="H18"/>
      <c r="I18"/>
      <c r="J18"/>
      <c r="K18"/>
      <c r="L18"/>
      <c r="M18"/>
      <c r="N18"/>
      <c r="O18"/>
      <c r="P18"/>
      <c r="Q18"/>
    </row>
    <row r="19" spans="1:17" x14ac:dyDescent="0.25">
      <c r="A19" s="2" t="s">
        <v>181</v>
      </c>
      <c r="B19" s="72">
        <f>'Ratio-KPI'!B23</f>
        <v>0.99509521061742645</v>
      </c>
      <c r="C19" s="72">
        <f>'Ratio-KPI'!C23</f>
        <v>0.86206004140786752</v>
      </c>
      <c r="D19" s="4"/>
      <c r="E19" s="4"/>
      <c r="F19" s="4"/>
      <c r="G19"/>
      <c r="H19"/>
      <c r="I19"/>
      <c r="J19"/>
      <c r="K19"/>
      <c r="L19"/>
      <c r="M19"/>
      <c r="N19"/>
      <c r="O19"/>
      <c r="P19"/>
      <c r="Q19"/>
    </row>
    <row r="20" spans="1:17" x14ac:dyDescent="0.25">
      <c r="A20" s="2" t="str">
        <f>'Ratio-KPI'!A24</f>
        <v>Net Debt to EBITDA</v>
      </c>
      <c r="B20" s="72">
        <f>'Ratio-KPI'!B24</f>
        <v>7.3529411764705879</v>
      </c>
      <c r="C20" s="72">
        <f>'Ratio-KPI'!C24</f>
        <v>6.1465721040189125</v>
      </c>
      <c r="D20" s="4"/>
      <c r="E20" s="4"/>
      <c r="F20" s="4"/>
      <c r="G20"/>
      <c r="H20"/>
      <c r="I20"/>
      <c r="J20"/>
      <c r="K20"/>
      <c r="L20"/>
      <c r="M20"/>
      <c r="N20"/>
      <c r="O20"/>
      <c r="P20"/>
      <c r="Q20"/>
    </row>
    <row r="21" spans="1:17" x14ac:dyDescent="0.25">
      <c r="A21" s="2" t="str">
        <f>'Ratio-KPI'!A25</f>
        <v>Interest Coverage Ratio</v>
      </c>
      <c r="B21" s="72">
        <f>'Ratio-KPI'!B25</f>
        <v>31.5</v>
      </c>
      <c r="C21" s="72">
        <f>'Ratio-KPI'!C25</f>
        <v>26.2</v>
      </c>
      <c r="D21" s="4"/>
      <c r="E21" s="4"/>
      <c r="F21" s="4"/>
      <c r="G21"/>
      <c r="H21"/>
      <c r="I21"/>
      <c r="J21"/>
      <c r="K21"/>
      <c r="L21"/>
      <c r="M21"/>
      <c r="N21"/>
      <c r="O21"/>
      <c r="P21"/>
      <c r="Q21"/>
    </row>
    <row r="22" spans="1:17" x14ac:dyDescent="0.25">
      <c r="A22" s="2" t="str">
        <f>'Ratio-KPI'!A26</f>
        <v>Debt Service Coverage Ratio (DSCR)</v>
      </c>
      <c r="B22" s="72">
        <f>'Ratio-KPI'!B26</f>
        <v>1.6190476190476191</v>
      </c>
      <c r="C22" s="72">
        <f>'Ratio-KPI'!C26</f>
        <v>1.3428571428571427</v>
      </c>
      <c r="D22" s="4"/>
      <c r="E22" s="4"/>
      <c r="F22" s="4"/>
      <c r="G22"/>
      <c r="H22"/>
      <c r="I22"/>
      <c r="J22"/>
      <c r="K22"/>
      <c r="L22"/>
      <c r="M22"/>
      <c r="N22"/>
      <c r="O22"/>
      <c r="P22"/>
      <c r="Q22"/>
    </row>
    <row r="23" spans="1:17" x14ac:dyDescent="0.25">
      <c r="A23" s="2"/>
      <c r="B23" s="72"/>
      <c r="C23" s="72"/>
      <c r="D23" s="4"/>
      <c r="E23" s="4"/>
      <c r="F23" s="4"/>
      <c r="G23"/>
      <c r="H23"/>
      <c r="I23"/>
      <c r="J23"/>
      <c r="K23"/>
      <c r="L23"/>
      <c r="M23"/>
      <c r="N23"/>
      <c r="O23"/>
      <c r="P23"/>
      <c r="Q23"/>
    </row>
    <row r="24" spans="1:17" x14ac:dyDescent="0.25">
      <c r="A24" s="2"/>
      <c r="B24" s="72"/>
      <c r="C24" s="72"/>
      <c r="D24" s="4"/>
      <c r="E24" s="4"/>
      <c r="F24" s="4"/>
      <c r="G24"/>
      <c r="H24"/>
      <c r="I24"/>
      <c r="J24"/>
      <c r="K24"/>
      <c r="L24"/>
      <c r="M24"/>
      <c r="N24"/>
      <c r="O24"/>
      <c r="P24"/>
      <c r="Q24"/>
    </row>
    <row r="25" spans="1:17" x14ac:dyDescent="0.25">
      <c r="A25" s="2"/>
      <c r="B25" s="72"/>
      <c r="C25" s="72"/>
      <c r="D25" s="4"/>
      <c r="E25" s="4"/>
      <c r="F25" s="4"/>
      <c r="G25"/>
      <c r="H25"/>
      <c r="I25"/>
      <c r="J25"/>
      <c r="K25"/>
      <c r="L25"/>
      <c r="M25"/>
      <c r="N25"/>
      <c r="O25"/>
      <c r="P25"/>
      <c r="Q25"/>
    </row>
    <row r="26" spans="1:17" x14ac:dyDescent="0.25">
      <c r="A26" s="2"/>
      <c r="B26" s="71"/>
      <c r="C26" s="71"/>
      <c r="D26" s="4"/>
      <c r="E26" s="4"/>
      <c r="F26" s="4"/>
      <c r="G26"/>
      <c r="H26"/>
      <c r="I26"/>
      <c r="J26"/>
      <c r="K26"/>
      <c r="L26"/>
      <c r="M26"/>
      <c r="N26"/>
      <c r="O26"/>
      <c r="P26"/>
      <c r="Q26"/>
    </row>
    <row r="27" spans="1:17" ht="16.5" customHeight="1" x14ac:dyDescent="0.25">
      <c r="A27" s="69" t="s">
        <v>182</v>
      </c>
      <c r="B27" s="52" t="s">
        <v>3</v>
      </c>
      <c r="C27" s="52" t="s">
        <v>4</v>
      </c>
      <c r="D27" s="4"/>
      <c r="E27" s="4"/>
      <c r="F27" s="4"/>
      <c r="G27"/>
      <c r="H27"/>
      <c r="I27"/>
      <c r="J27"/>
      <c r="K27"/>
      <c r="L27"/>
      <c r="M27"/>
      <c r="N27"/>
      <c r="O27"/>
      <c r="P27"/>
      <c r="Q27"/>
    </row>
    <row r="28" spans="1:17" x14ac:dyDescent="0.25">
      <c r="A28" s="2" t="s">
        <v>183</v>
      </c>
      <c r="B28" s="73">
        <f>WORKING_CAPITAL!B5</f>
        <v>54.613466334164592</v>
      </c>
      <c r="C28" s="73">
        <f>WORKING_CAPITAL!C5</f>
        <v>65.621254494606475</v>
      </c>
      <c r="D28" s="4"/>
      <c r="E28" s="4"/>
      <c r="F28" s="4"/>
      <c r="G28"/>
      <c r="H28"/>
      <c r="I28"/>
      <c r="J28"/>
      <c r="K28"/>
      <c r="L28"/>
      <c r="M28"/>
      <c r="N28"/>
      <c r="O28"/>
      <c r="P28"/>
      <c r="Q28"/>
    </row>
    <row r="29" spans="1:17" x14ac:dyDescent="0.25">
      <c r="A29" s="2" t="s">
        <v>88</v>
      </c>
      <c r="B29" s="73">
        <f>WORKING_CAPITAL!B6</f>
        <v>28.515625</v>
      </c>
      <c r="C29" s="73">
        <f>WORKING_CAPITAL!C6</f>
        <v>31.937499999999996</v>
      </c>
      <c r="D29" s="4"/>
      <c r="E29" s="4"/>
      <c r="F29" s="4"/>
      <c r="G29"/>
      <c r="H29"/>
      <c r="I29"/>
      <c r="J29"/>
      <c r="K29"/>
      <c r="L29"/>
      <c r="M29"/>
      <c r="N29"/>
      <c r="O29"/>
      <c r="P29"/>
      <c r="Q29"/>
    </row>
    <row r="30" spans="1:17" x14ac:dyDescent="0.25">
      <c r="A30" s="2" t="s">
        <v>184</v>
      </c>
      <c r="B30" s="73">
        <f>WORKING_CAPITAL!B7</f>
        <v>54.521875000000001</v>
      </c>
      <c r="C30" s="73">
        <f>WORKING_CAPITAL!C7</f>
        <v>47.815000000000005</v>
      </c>
      <c r="D30" s="4"/>
      <c r="E30" s="4"/>
      <c r="F30" s="4"/>
      <c r="G30"/>
      <c r="H30"/>
      <c r="I30"/>
      <c r="J30"/>
      <c r="K30"/>
      <c r="L30"/>
      <c r="M30"/>
      <c r="N30"/>
      <c r="O30"/>
      <c r="P30"/>
      <c r="Q30"/>
    </row>
    <row r="31" spans="1:17" x14ac:dyDescent="0.25">
      <c r="A31" s="2" t="s">
        <v>185</v>
      </c>
      <c r="B31" s="73">
        <f>WORKING_CAPITAL!B8</f>
        <v>28.607216334164598</v>
      </c>
      <c r="C31" s="73">
        <f>WORKING_CAPITAL!C8</f>
        <v>49.74375449460647</v>
      </c>
      <c r="D31" s="4"/>
      <c r="E31" s="4"/>
      <c r="F31" s="4"/>
      <c r="G31"/>
      <c r="H31"/>
      <c r="I31"/>
      <c r="J31"/>
      <c r="K31"/>
      <c r="L31"/>
      <c r="M31"/>
      <c r="N31"/>
      <c r="O31"/>
      <c r="P31"/>
      <c r="Q31"/>
    </row>
    <row r="32" spans="1:17" x14ac:dyDescent="0.25">
      <c r="A32" s="2"/>
      <c r="B32" s="73"/>
      <c r="C32" s="73"/>
      <c r="D32" s="4"/>
      <c r="E32" s="4"/>
      <c r="F32" s="4"/>
      <c r="G32"/>
      <c r="H32"/>
      <c r="I32"/>
      <c r="J32"/>
      <c r="K32"/>
      <c r="L32"/>
      <c r="M32"/>
      <c r="N32"/>
      <c r="O32"/>
      <c r="P32"/>
      <c r="Q32"/>
    </row>
    <row r="33" spans="1:17" x14ac:dyDescent="0.25">
      <c r="A33" s="2"/>
      <c r="B33" s="73"/>
      <c r="C33" s="73"/>
      <c r="D33" s="4"/>
      <c r="E33" s="4"/>
      <c r="F33" s="4"/>
      <c r="G33"/>
      <c r="H33"/>
      <c r="I33"/>
      <c r="J33"/>
      <c r="K33"/>
      <c r="L33"/>
      <c r="M33"/>
      <c r="N33"/>
      <c r="O33"/>
      <c r="P33"/>
      <c r="Q33"/>
    </row>
    <row r="34" spans="1:17" x14ac:dyDescent="0.25">
      <c r="A34" s="2"/>
      <c r="B34" s="73"/>
      <c r="C34" s="73"/>
      <c r="D34" s="4"/>
      <c r="E34" s="4"/>
      <c r="F34" s="4"/>
      <c r="G34"/>
      <c r="H34"/>
      <c r="I34"/>
      <c r="J34"/>
      <c r="K34"/>
      <c r="L34"/>
      <c r="M34"/>
      <c r="N34"/>
      <c r="O34"/>
      <c r="P34"/>
      <c r="Q34"/>
    </row>
    <row r="35" spans="1:17" x14ac:dyDescent="0.25">
      <c r="A35" s="2"/>
      <c r="B35" s="73"/>
      <c r="C35" s="73"/>
      <c r="D35" s="4"/>
      <c r="E35" s="4"/>
      <c r="F35" s="4"/>
      <c r="G35"/>
      <c r="H35"/>
      <c r="I35"/>
      <c r="J35"/>
      <c r="K35"/>
      <c r="L35"/>
      <c r="M35"/>
      <c r="N35"/>
      <c r="O35"/>
      <c r="P35"/>
      <c r="Q35"/>
    </row>
    <row r="36" spans="1:17" x14ac:dyDescent="0.25">
      <c r="A36" s="2"/>
      <c r="B36" s="74"/>
      <c r="C36" s="74"/>
      <c r="D36" s="4"/>
      <c r="E36" s="4"/>
      <c r="F36" s="4"/>
      <c r="G36"/>
      <c r="H36"/>
      <c r="I36"/>
      <c r="J36"/>
      <c r="K36"/>
      <c r="L36"/>
      <c r="M36"/>
      <c r="N36"/>
      <c r="O36"/>
      <c r="P36"/>
      <c r="Q36"/>
    </row>
    <row r="37" spans="1:17" ht="16.5" customHeight="1" x14ac:dyDescent="0.25">
      <c r="A37" s="75" t="s">
        <v>141</v>
      </c>
      <c r="B37" s="76" t="s">
        <v>3</v>
      </c>
      <c r="C37" s="76" t="s">
        <v>4</v>
      </c>
      <c r="D37" s="4"/>
      <c r="E37" s="4"/>
      <c r="F37" s="4"/>
      <c r="G37"/>
      <c r="H37"/>
      <c r="I37"/>
      <c r="J37"/>
      <c r="K37"/>
      <c r="L37"/>
      <c r="M37"/>
      <c r="N37"/>
      <c r="O37"/>
      <c r="P37"/>
      <c r="Q37"/>
    </row>
    <row r="38" spans="1:17" x14ac:dyDescent="0.25">
      <c r="A38" s="49" t="s">
        <v>142</v>
      </c>
      <c r="B38" s="77">
        <f>'Ratio-KPI'!B17</f>
        <v>0.28994938539407084</v>
      </c>
      <c r="C38" s="77">
        <f>'Ratio-KPI'!C17</f>
        <v>0.34788047255038224</v>
      </c>
      <c r="D38" s="4"/>
      <c r="E38" s="4"/>
      <c r="F38" s="4"/>
      <c r="G38"/>
      <c r="H38"/>
      <c r="I38"/>
      <c r="J38"/>
      <c r="K38"/>
      <c r="L38"/>
      <c r="M38"/>
      <c r="N38"/>
      <c r="O38"/>
      <c r="P38"/>
      <c r="Q38"/>
    </row>
    <row r="39" spans="1:17" x14ac:dyDescent="0.25">
      <c r="A39" s="49" t="s">
        <v>146</v>
      </c>
      <c r="B39" s="77">
        <f>'Ratio-KPI'!B18</f>
        <v>6.6833333333333336</v>
      </c>
      <c r="C39" s="77">
        <f>'Ratio-KPI'!C18</f>
        <v>5.5622222222222222</v>
      </c>
      <c r="D39" s="4"/>
      <c r="E39" s="4"/>
      <c r="F39" s="4"/>
      <c r="G39"/>
      <c r="H39"/>
      <c r="I39"/>
      <c r="J39"/>
      <c r="K39"/>
      <c r="L39"/>
      <c r="M39"/>
      <c r="N39"/>
      <c r="O39"/>
      <c r="P39"/>
      <c r="Q39"/>
    </row>
    <row r="40" spans="1:17" x14ac:dyDescent="0.25">
      <c r="A40" s="49" t="s">
        <v>149</v>
      </c>
      <c r="B40" s="77">
        <f>'Ratio-KPI'!B19</f>
        <v>12.8</v>
      </c>
      <c r="C40" s="77">
        <f>'Ratio-KPI'!C19</f>
        <v>11.428571428571429</v>
      </c>
      <c r="D40" s="4"/>
      <c r="E40" s="4"/>
      <c r="F40" s="4"/>
      <c r="G40"/>
      <c r="H40"/>
      <c r="I40"/>
      <c r="J40"/>
      <c r="K40"/>
      <c r="L40"/>
      <c r="M40"/>
      <c r="N40"/>
      <c r="O40"/>
      <c r="P40"/>
      <c r="Q40"/>
    </row>
    <row r="41" spans="1:17" x14ac:dyDescent="0.25">
      <c r="A41" s="49" t="s">
        <v>152</v>
      </c>
      <c r="B41" s="77">
        <f>'Ratio-KPI'!B20</f>
        <v>6.6945606694560666</v>
      </c>
      <c r="C41" s="77">
        <f>'Ratio-KPI'!C20</f>
        <v>7.6335877862595423</v>
      </c>
      <c r="D41" s="4"/>
      <c r="E41" s="4"/>
      <c r="F41" s="4"/>
      <c r="G41"/>
      <c r="H41"/>
      <c r="I41"/>
      <c r="J41"/>
      <c r="K41"/>
      <c r="L41"/>
      <c r="M41"/>
      <c r="N41"/>
      <c r="O41"/>
      <c r="P41"/>
      <c r="Q41"/>
    </row>
    <row r="42" spans="1:17" x14ac:dyDescent="0.25">
      <c r="A42" s="49"/>
      <c r="B42" s="77"/>
      <c r="C42" s="77"/>
      <c r="D42" s="4"/>
      <c r="E42" s="4"/>
      <c r="F42" s="4"/>
      <c r="G42"/>
      <c r="H42"/>
      <c r="I42"/>
      <c r="J42"/>
      <c r="K42"/>
      <c r="L42"/>
      <c r="M42"/>
      <c r="N42"/>
      <c r="O42"/>
      <c r="P42"/>
      <c r="Q42"/>
    </row>
    <row r="43" spans="1:17" x14ac:dyDescent="0.25">
      <c r="A43" s="49"/>
      <c r="B43" s="77"/>
      <c r="C43" s="77"/>
      <c r="D43" s="4"/>
      <c r="E43" s="4"/>
      <c r="F43" s="4"/>
      <c r="G43"/>
      <c r="H43"/>
      <c r="I43"/>
      <c r="J43"/>
      <c r="K43"/>
      <c r="L43"/>
      <c r="M43"/>
      <c r="N43"/>
      <c r="O43"/>
      <c r="P43"/>
      <c r="Q43"/>
    </row>
    <row r="44" spans="1:17" x14ac:dyDescent="0.25">
      <c r="A44" s="49"/>
      <c r="B44" s="77"/>
      <c r="C44" s="77"/>
      <c r="D44" s="4"/>
      <c r="E44" s="4"/>
      <c r="F44" s="4"/>
      <c r="G44"/>
      <c r="H44"/>
      <c r="I44"/>
      <c r="J44"/>
      <c r="K44"/>
      <c r="L44"/>
      <c r="M44"/>
      <c r="N44"/>
      <c r="O44"/>
      <c r="P44"/>
      <c r="Q44"/>
    </row>
    <row r="45" spans="1:17" x14ac:dyDescent="0.25">
      <c r="A45" s="49"/>
      <c r="B45" s="77"/>
      <c r="C45" s="77"/>
      <c r="D45" s="4"/>
      <c r="E45" s="4"/>
      <c r="F45" s="4"/>
      <c r="G45"/>
      <c r="H45"/>
      <c r="I45"/>
      <c r="J45"/>
      <c r="K45"/>
      <c r="L45"/>
      <c r="M45"/>
      <c r="N45"/>
      <c r="O45"/>
      <c r="P45"/>
      <c r="Q45"/>
    </row>
    <row r="46" spans="1:17" x14ac:dyDescent="0.25">
      <c r="A46" s="49"/>
      <c r="B46" s="77"/>
      <c r="C46" s="77"/>
      <c r="D46" s="4"/>
      <c r="E46" s="4"/>
      <c r="F46" s="4"/>
      <c r="G46"/>
      <c r="H46"/>
      <c r="I46"/>
      <c r="J46"/>
      <c r="K46"/>
      <c r="L46"/>
      <c r="M46"/>
      <c r="N46"/>
      <c r="O46"/>
      <c r="P46"/>
      <c r="Q46"/>
    </row>
    <row r="47" spans="1:17" x14ac:dyDescent="0.25">
      <c r="A47" s="49"/>
      <c r="B47" s="77"/>
      <c r="C47" s="77"/>
      <c r="D47" s="4"/>
      <c r="E47" s="4"/>
      <c r="F47" s="4"/>
      <c r="G47"/>
      <c r="H47"/>
      <c r="I47"/>
      <c r="J47"/>
      <c r="K47"/>
      <c r="L47"/>
      <c r="M47"/>
      <c r="N47"/>
      <c r="O47"/>
      <c r="P47"/>
      <c r="Q47"/>
    </row>
    <row r="48" spans="1:17" ht="16.5" customHeight="1" x14ac:dyDescent="0.25">
      <c r="A48" s="78"/>
      <c r="B48" s="79"/>
      <c r="C48" s="79"/>
      <c r="D48" s="4"/>
      <c r="E48" s="4"/>
      <c r="F48" s="4"/>
      <c r="G48"/>
      <c r="H48"/>
      <c r="I48"/>
      <c r="J48"/>
      <c r="K48"/>
      <c r="L48"/>
      <c r="M48"/>
      <c r="N48"/>
      <c r="O48"/>
      <c r="P48"/>
      <c r="Q48"/>
    </row>
    <row r="49" spans="1:17" ht="16.5" customHeight="1" x14ac:dyDescent="0.25">
      <c r="A49" s="78"/>
      <c r="B49" s="79"/>
      <c r="C49" s="79"/>
      <c r="D49" s="4"/>
      <c r="E49" s="4"/>
      <c r="F49" s="4"/>
      <c r="G49"/>
      <c r="H49"/>
      <c r="I49"/>
      <c r="J49"/>
      <c r="K49"/>
      <c r="L49"/>
      <c r="M49"/>
      <c r="N49"/>
      <c r="O49"/>
      <c r="P49"/>
      <c r="Q49"/>
    </row>
    <row r="50" spans="1:17" ht="16.5" customHeight="1" x14ac:dyDescent="0.25">
      <c r="A50" s="78"/>
      <c r="B50" s="79"/>
      <c r="C50" s="79"/>
      <c r="D50" s="4"/>
      <c r="E50" s="4"/>
      <c r="F50" s="4"/>
      <c r="G50"/>
      <c r="H50"/>
      <c r="I50"/>
      <c r="J50"/>
      <c r="K50"/>
      <c r="L50"/>
      <c r="M50"/>
      <c r="N50"/>
      <c r="O50"/>
      <c r="P50"/>
      <c r="Q50"/>
    </row>
    <row r="51" spans="1:17" ht="16.5" customHeight="1" x14ac:dyDescent="0.25">
      <c r="A51" s="78"/>
      <c r="B51" s="79"/>
      <c r="C51" s="79"/>
      <c r="D51" s="4"/>
      <c r="E51" s="4"/>
      <c r="F51" s="4"/>
      <c r="G51"/>
      <c r="H51"/>
      <c r="I51"/>
      <c r="J51"/>
      <c r="K51"/>
      <c r="L51"/>
      <c r="M51"/>
      <c r="N51"/>
      <c r="O51"/>
      <c r="P51"/>
      <c r="Q51"/>
    </row>
    <row r="52" spans="1:17" x14ac:dyDescent="0.25">
      <c r="A52" s="2"/>
      <c r="B52" s="71"/>
      <c r="C52" s="71"/>
      <c r="D52" s="4"/>
      <c r="E52" s="4"/>
      <c r="F52" s="4"/>
      <c r="G52"/>
      <c r="H52"/>
      <c r="I52"/>
      <c r="J52"/>
      <c r="K52"/>
      <c r="L52"/>
      <c r="M52"/>
      <c r="N52"/>
      <c r="O52"/>
      <c r="P52"/>
      <c r="Q52"/>
    </row>
    <row r="53" spans="1:17" ht="16.5" customHeight="1" x14ac:dyDescent="0.25">
      <c r="A53" s="69" t="s">
        <v>186</v>
      </c>
      <c r="B53" s="52" t="s">
        <v>3</v>
      </c>
      <c r="C53" s="52" t="s">
        <v>4</v>
      </c>
      <c r="D53" s="4"/>
      <c r="E53" s="4"/>
      <c r="F53" s="4"/>
      <c r="G53"/>
      <c r="H53"/>
      <c r="I53"/>
      <c r="J53"/>
      <c r="K53"/>
      <c r="L53"/>
      <c r="M53"/>
      <c r="N53"/>
      <c r="O53"/>
      <c r="P53"/>
      <c r="Q53"/>
    </row>
    <row r="54" spans="1:17" ht="16.5" customHeight="1" x14ac:dyDescent="0.25">
      <c r="A54" s="80" t="s">
        <v>187</v>
      </c>
      <c r="B54" s="81">
        <f>PL_3Y_SME!C4</f>
        <v>2000</v>
      </c>
      <c r="C54" s="81">
        <f>PL_3Y_SME!D4</f>
        <v>2500</v>
      </c>
      <c r="D54" s="4"/>
      <c r="E54" s="4"/>
      <c r="F54" s="4"/>
      <c r="G54"/>
      <c r="H54"/>
      <c r="I54"/>
      <c r="J54"/>
      <c r="K54"/>
      <c r="L54"/>
      <c r="M54"/>
      <c r="N54"/>
      <c r="O54"/>
      <c r="P54"/>
      <c r="Q54"/>
    </row>
    <row r="55" spans="1:17" x14ac:dyDescent="0.25">
      <c r="A55" s="2" t="s">
        <v>188</v>
      </c>
      <c r="B55" s="81">
        <f>FREECASHFLOW_FY3!B16</f>
        <v>240.25</v>
      </c>
      <c r="C55" s="81">
        <f>FREECASHFLOW_FY3!C16</f>
        <v>-101.25</v>
      </c>
      <c r="D55" s="4"/>
      <c r="E55" s="4"/>
      <c r="F55" s="4"/>
      <c r="G55"/>
      <c r="H55"/>
      <c r="I55"/>
      <c r="J55"/>
      <c r="K55"/>
      <c r="L55"/>
      <c r="M55"/>
      <c r="N55"/>
      <c r="O55"/>
      <c r="P55"/>
      <c r="Q55"/>
    </row>
    <row r="56" spans="1:17" x14ac:dyDescent="0.25">
      <c r="A56" s="2" t="s">
        <v>189</v>
      </c>
      <c r="B56" s="81">
        <f>-FREECASHFLOW_FY3!B17</f>
        <v>500</v>
      </c>
      <c r="C56" s="81">
        <f>-FREECASHFLOW_FY3!C17</f>
        <v>25</v>
      </c>
      <c r="D56" s="4"/>
      <c r="E56" s="4"/>
      <c r="F56" s="4"/>
      <c r="G56"/>
      <c r="H56"/>
      <c r="I56"/>
      <c r="J56"/>
      <c r="K56"/>
      <c r="L56"/>
      <c r="M56"/>
      <c r="N56"/>
      <c r="O56"/>
      <c r="P56"/>
      <c r="Q56"/>
    </row>
    <row r="57" spans="1:17" x14ac:dyDescent="0.25">
      <c r="A57" s="2" t="s">
        <v>190</v>
      </c>
      <c r="B57" s="81">
        <f>FREECASHFLOW_FY3!B18</f>
        <v>-259.75</v>
      </c>
      <c r="C57" s="81">
        <f>FREECASHFLOW_FY3!C18</f>
        <v>-126.25</v>
      </c>
      <c r="D57" s="4"/>
      <c r="E57" s="4"/>
      <c r="F57" s="4"/>
      <c r="G57"/>
      <c r="H57"/>
      <c r="I57"/>
      <c r="J57"/>
      <c r="K57"/>
      <c r="L57"/>
      <c r="M57"/>
      <c r="N57"/>
      <c r="O57"/>
      <c r="P57"/>
      <c r="Q57"/>
    </row>
    <row r="58" spans="1:17" x14ac:dyDescent="0.25">
      <c r="A58" s="2" t="s">
        <v>191</v>
      </c>
      <c r="B58" s="81">
        <f>FREECASHFLOW_FY3!B21</f>
        <v>332.75</v>
      </c>
      <c r="C58" s="81">
        <f>FREECASHFLOW_FY3!C21</f>
        <v>-37.5</v>
      </c>
      <c r="D58" s="4"/>
      <c r="E58" s="4"/>
      <c r="F58" s="4"/>
      <c r="G58"/>
      <c r="H58"/>
      <c r="I58"/>
      <c r="J58"/>
      <c r="K58"/>
      <c r="L58"/>
      <c r="M58"/>
      <c r="N58"/>
      <c r="O58"/>
      <c r="P58"/>
      <c r="Q58"/>
    </row>
    <row r="59" spans="1:17" x14ac:dyDescent="0.25">
      <c r="A59" s="2" t="s">
        <v>192</v>
      </c>
      <c r="B59" s="81">
        <f>(BS_3Y_SME!C29+BS_3Y_SME!C35-BS_3Y_SME!C17)</f>
        <v>2500</v>
      </c>
      <c r="C59" s="81">
        <f>(BS_3Y_SME!D29+BS_3Y_SME!D35-BS_3Y_SME!D17)</f>
        <v>2600</v>
      </c>
      <c r="D59" s="4"/>
      <c r="E59" s="4"/>
      <c r="F59" s="4"/>
      <c r="G59"/>
      <c r="H59"/>
      <c r="I59"/>
      <c r="J59"/>
      <c r="K59"/>
      <c r="L59"/>
      <c r="M59"/>
      <c r="N59"/>
      <c r="O59"/>
      <c r="P59"/>
      <c r="Q59"/>
    </row>
    <row r="60" spans="1:17" x14ac:dyDescent="0.25">
      <c r="A60"/>
      <c r="B60" s="82"/>
      <c r="C60" s="82"/>
      <c r="D60"/>
      <c r="E60"/>
      <c r="F60"/>
      <c r="G60"/>
      <c r="H60"/>
      <c r="I60"/>
      <c r="J60"/>
      <c r="K60"/>
      <c r="L60"/>
      <c r="M60"/>
      <c r="N60"/>
      <c r="O60"/>
      <c r="P60"/>
      <c r="Q60"/>
    </row>
    <row r="61" spans="1:17" x14ac:dyDescent="0.2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</row>
  </sheetData>
  <sheetProtection algorithmName="SHA-512" hashValue="3RywyaWaN3mC2FlLG2dpwuDTx3JuTtSkPobnXdQjBImG9IY0VQfwTHpo393Xo/8jU0IV5VX4mMFiyC4CbMmguQ==" saltValue="Ide9g0khR/VYY61dlgIHhw==" spinCount="100000" sheet="1" objects="1" scenarios="1" selectLockedCells="1"/>
  <mergeCells count="2">
    <mergeCell ref="A2:C2"/>
    <mergeCell ref="A3:C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2060"/>
  </sheetPr>
  <dimension ref="A1:G49"/>
  <sheetViews>
    <sheetView workbookViewId="0">
      <selection activeCell="A17" sqref="A17"/>
    </sheetView>
  </sheetViews>
  <sheetFormatPr defaultRowHeight="15" x14ac:dyDescent="0.25"/>
  <cols>
    <col min="1" max="1" width="103.85546875" style="45" customWidth="1"/>
    <col min="2" max="16384" width="9.140625" style="45"/>
  </cols>
  <sheetData>
    <row r="1" spans="1:7" ht="18.75" x14ac:dyDescent="0.3">
      <c r="A1" s="3" t="s">
        <v>193</v>
      </c>
      <c r="B1" s="85"/>
      <c r="C1" s="44"/>
      <c r="D1" s="44"/>
      <c r="E1" s="44"/>
      <c r="F1" s="44"/>
      <c r="G1" s="44"/>
    </row>
    <row r="2" spans="1:7" x14ac:dyDescent="0.25">
      <c r="A2" s="86" t="s">
        <v>204</v>
      </c>
      <c r="B2" s="87" t="s">
        <v>203</v>
      </c>
      <c r="C2" s="44"/>
      <c r="D2" s="44"/>
      <c r="E2" s="44"/>
      <c r="F2" s="44"/>
      <c r="G2" s="44"/>
    </row>
    <row r="3" spans="1:7" x14ac:dyDescent="0.25">
      <c r="A3" s="2" t="s">
        <v>194</v>
      </c>
      <c r="B3" s="71">
        <f>IF(AND('Ratio-KPI'!C6&gt;1.8,'Ratio-KPI'!C7&gt;1.2,'Ratio-KPI'!C25&gt;4),5,IF('Ratio-KPI'!C6&gt;1.5,4,IF('Ratio-KPI'!C6&gt;1.2,3,IF('Ratio-KPI'!C6&gt;1,2,1))))</f>
        <v>5</v>
      </c>
      <c r="C3" s="44"/>
      <c r="D3" s="44"/>
      <c r="E3" s="44"/>
      <c r="F3" s="44"/>
      <c r="G3" s="44"/>
    </row>
    <row r="4" spans="1:7" x14ac:dyDescent="0.25">
      <c r="A4" s="2" t="s">
        <v>195</v>
      </c>
      <c r="B4" s="71">
        <f>IF(AND('Ratio-KPI'!C11&gt;0.2,'Ratio-KPI'!C14&gt;0.15),5,IF('Ratio-KPI'!C14&gt;0.12,4,IF('Ratio-KPI'!C14&gt;0.08,3,IF('Ratio-KPI'!C14&gt;0.05,2,1))))</f>
        <v>2</v>
      </c>
      <c r="C4" s="44"/>
      <c r="D4" s="44"/>
      <c r="E4" s="44"/>
      <c r="F4" s="44"/>
      <c r="G4" s="44"/>
    </row>
    <row r="5" spans="1:7" x14ac:dyDescent="0.25">
      <c r="A5" s="2" t="s">
        <v>196</v>
      </c>
      <c r="B5" s="71">
        <f>IF(AND('Ratio-KPI'!C22&lt;0.5,'Ratio-KPI'!C24&lt;2),5,IF('Ratio-KPI'!C22&lt;1,4,IF('Ratio-KPI'!C24&lt;3,3,IF('Ratio-KPI'!C24&lt;5,2,1))))</f>
        <v>4</v>
      </c>
      <c r="C5" s="44"/>
      <c r="D5" s="44"/>
      <c r="E5" s="44"/>
      <c r="F5" s="44"/>
      <c r="G5" s="44"/>
    </row>
    <row r="6" spans="1:7" x14ac:dyDescent="0.25">
      <c r="A6" s="2" t="s">
        <v>197</v>
      </c>
      <c r="B6" s="71">
        <f>IF(AND(FREECASHFLOW_FY3!C16&gt;0,FREECASHFLOW_FY3!C18&gt;0),5,IF(FREECASHFLOW_FY3!C16&gt;0,3,1))</f>
        <v>1</v>
      </c>
      <c r="C6" s="44"/>
      <c r="D6" s="44"/>
      <c r="E6" s="44"/>
      <c r="F6" s="44"/>
      <c r="G6" s="44"/>
    </row>
    <row r="7" spans="1:7" x14ac:dyDescent="0.25">
      <c r="A7" s="2" t="s">
        <v>198</v>
      </c>
      <c r="B7" s="71">
        <f>IF(WORKING_CAPITAL!C8&lt;45,5,IF(WORKING_CAPITAL!C8&lt;60,4,IF(WORKING_CAPITAL!C8&lt;90,3,IF(WORKING_CAPITAL!C8&lt;120,2,1))))</f>
        <v>4</v>
      </c>
      <c r="C7" s="44"/>
      <c r="D7" s="44"/>
      <c r="E7" s="44"/>
      <c r="F7" s="44"/>
      <c r="G7" s="44"/>
    </row>
    <row r="8" spans="1:7" x14ac:dyDescent="0.25">
      <c r="A8" s="2"/>
      <c r="B8" s="71"/>
      <c r="C8" s="44"/>
      <c r="D8" s="44"/>
      <c r="E8" s="44"/>
      <c r="F8" s="44"/>
      <c r="G8" s="44"/>
    </row>
    <row r="9" spans="1:7" x14ac:dyDescent="0.25">
      <c r="A9" s="88" t="s">
        <v>199</v>
      </c>
      <c r="B9" s="71">
        <f>SUM(B3:B7)</f>
        <v>16</v>
      </c>
      <c r="C9" s="44"/>
      <c r="D9" s="44"/>
      <c r="E9" s="44"/>
      <c r="F9" s="44"/>
      <c r="G9" s="44"/>
    </row>
    <row r="10" spans="1:7" x14ac:dyDescent="0.25">
      <c r="A10" s="4"/>
      <c r="B10" s="89"/>
      <c r="C10" s="44"/>
      <c r="D10" s="44"/>
      <c r="E10" s="44"/>
      <c r="F10" s="44"/>
      <c r="G10" s="44"/>
    </row>
    <row r="11" spans="1:7" x14ac:dyDescent="0.25">
      <c r="A11" s="90" t="s">
        <v>200</v>
      </c>
      <c r="B11" s="89" t="str">
        <f>IF(B9&gt;=21,"Strong",IF(B9&gt;=16,"Stable",IF(B9&gt;=11,"Moderate Risk",IF(B9&gt;=6,"High Risk","Critical"))))</f>
        <v>Stable</v>
      </c>
      <c r="C11" s="44"/>
      <c r="D11" s="44"/>
      <c r="E11" s="44"/>
      <c r="F11" s="44"/>
      <c r="G11" s="44"/>
    </row>
    <row r="12" spans="1:7" x14ac:dyDescent="0.25">
      <c r="A12" s="4"/>
      <c r="B12" s="4"/>
      <c r="C12" s="44"/>
      <c r="D12" s="44"/>
      <c r="E12" s="44"/>
      <c r="F12" s="44"/>
      <c r="G12" s="44"/>
    </row>
    <row r="13" spans="1:7" x14ac:dyDescent="0.25">
      <c r="A13" s="90" t="s">
        <v>201</v>
      </c>
      <c r="B13" s="4"/>
      <c r="C13" s="44"/>
      <c r="D13" s="44"/>
      <c r="E13" s="44"/>
      <c r="F13" s="44"/>
      <c r="G13" s="44"/>
    </row>
    <row r="14" spans="1:7" ht="30" x14ac:dyDescent="0.25">
      <c r="A14" s="91" t="str">
        <f>"The company demonstrates a "&amp;B11&amp;" financial profile. Liquidity score is "&amp;B3&amp;"/5, profitability score is "&amp;B4&amp;"/5, leverage score is "&amp;B5&amp;"/5, cash flow score is "&amp;B6&amp;"/5, and working capital score is "&amp;B7&amp;"/5. Overall health score is "&amp;B9&amp;" out of 25."</f>
        <v>The company demonstrates a Stable financial profile. Liquidity score is 5/5, profitability score is 2/5, leverage score is 4/5, cash flow score is 1/5, and working capital score is 4/5. Overall health score is 16 out of 25.</v>
      </c>
      <c r="B14" s="4"/>
      <c r="C14" s="44"/>
      <c r="D14" s="44"/>
      <c r="E14" s="44"/>
      <c r="F14" s="44"/>
      <c r="G14" s="44"/>
    </row>
    <row r="15" spans="1:7" x14ac:dyDescent="0.25">
      <c r="A15" s="44"/>
      <c r="B15" s="44"/>
      <c r="C15" s="44"/>
      <c r="D15" s="44"/>
      <c r="E15" s="44"/>
      <c r="F15" s="44"/>
      <c r="G15" s="44"/>
    </row>
    <row r="16" spans="1:7" x14ac:dyDescent="0.25">
      <c r="A16" s="83" t="s">
        <v>219</v>
      </c>
      <c r="B16" s="44"/>
      <c r="C16" s="44"/>
      <c r="D16" s="44"/>
      <c r="E16" s="44"/>
      <c r="F16" s="44"/>
      <c r="G16" s="44"/>
    </row>
    <row r="17" spans="1:7" x14ac:dyDescent="0.25">
      <c r="A17" s="44" t="s">
        <v>220</v>
      </c>
      <c r="B17" s="44"/>
      <c r="C17" s="44"/>
      <c r="D17" s="44"/>
      <c r="E17" s="44"/>
      <c r="F17" s="44"/>
      <c r="G17" s="44"/>
    </row>
    <row r="18" spans="1:7" x14ac:dyDescent="0.25">
      <c r="A18" s="44"/>
      <c r="B18" s="44"/>
      <c r="C18" s="44"/>
      <c r="D18" s="44"/>
      <c r="E18" s="44"/>
      <c r="F18" s="44"/>
      <c r="G18" s="44"/>
    </row>
    <row r="19" spans="1:7" x14ac:dyDescent="0.25">
      <c r="A19" s="45" t="s">
        <v>221</v>
      </c>
    </row>
    <row r="21" spans="1:7" x14ac:dyDescent="0.25">
      <c r="A21" s="45" t="s">
        <v>222</v>
      </c>
    </row>
    <row r="22" spans="1:7" x14ac:dyDescent="0.25">
      <c r="A22" s="45" t="s">
        <v>223</v>
      </c>
    </row>
    <row r="23" spans="1:7" x14ac:dyDescent="0.25">
      <c r="A23" s="45" t="s">
        <v>224</v>
      </c>
    </row>
    <row r="24" spans="1:7" x14ac:dyDescent="0.25">
      <c r="A24" s="45" t="s">
        <v>225</v>
      </c>
    </row>
    <row r="25" spans="1:7" x14ac:dyDescent="0.25">
      <c r="A25" s="45" t="s">
        <v>226</v>
      </c>
    </row>
    <row r="26" spans="1:7" x14ac:dyDescent="0.25">
      <c r="A26" s="45" t="s">
        <v>227</v>
      </c>
    </row>
    <row r="28" spans="1:7" x14ac:dyDescent="0.25">
      <c r="A28" s="45" t="s">
        <v>228</v>
      </c>
    </row>
    <row r="29" spans="1:7" x14ac:dyDescent="0.25">
      <c r="A29" s="45" t="s">
        <v>229</v>
      </c>
    </row>
    <row r="30" spans="1:7" x14ac:dyDescent="0.25">
      <c r="A30" s="45" t="s">
        <v>230</v>
      </c>
    </row>
    <row r="31" spans="1:7" x14ac:dyDescent="0.25">
      <c r="A31" s="45" t="s">
        <v>231</v>
      </c>
    </row>
    <row r="32" spans="1:7" x14ac:dyDescent="0.25">
      <c r="A32" s="45" t="s">
        <v>232</v>
      </c>
    </row>
    <row r="33" spans="1:1" x14ac:dyDescent="0.25">
      <c r="A33" s="45" t="s">
        <v>233</v>
      </c>
    </row>
    <row r="34" spans="1:1" x14ac:dyDescent="0.25">
      <c r="A34" s="45" t="s">
        <v>234</v>
      </c>
    </row>
    <row r="35" spans="1:1" x14ac:dyDescent="0.25">
      <c r="A35" s="45" t="s">
        <v>235</v>
      </c>
    </row>
    <row r="37" spans="1:1" x14ac:dyDescent="0.25">
      <c r="A37" s="45" t="s">
        <v>236</v>
      </c>
    </row>
    <row r="39" spans="1:1" x14ac:dyDescent="0.25">
      <c r="A39" s="45" t="s">
        <v>237</v>
      </c>
    </row>
    <row r="40" spans="1:1" x14ac:dyDescent="0.25">
      <c r="A40" s="84" t="s">
        <v>242</v>
      </c>
    </row>
    <row r="41" spans="1:1" x14ac:dyDescent="0.25">
      <c r="A41" s="84" t="s">
        <v>241</v>
      </c>
    </row>
    <row r="42" spans="1:1" x14ac:dyDescent="0.25">
      <c r="A42" s="84" t="s">
        <v>243</v>
      </c>
    </row>
    <row r="43" spans="1:1" x14ac:dyDescent="0.25">
      <c r="A43" s="84" t="s">
        <v>244</v>
      </c>
    </row>
    <row r="44" spans="1:1" x14ac:dyDescent="0.25">
      <c r="A44" s="84" t="s">
        <v>245</v>
      </c>
    </row>
    <row r="45" spans="1:1" x14ac:dyDescent="0.25">
      <c r="A45" s="84" t="s">
        <v>246</v>
      </c>
    </row>
    <row r="47" spans="1:1" x14ac:dyDescent="0.25">
      <c r="A47" s="45" t="s">
        <v>238</v>
      </c>
    </row>
    <row r="48" spans="1:1" x14ac:dyDescent="0.25">
      <c r="A48" s="45" t="s">
        <v>239</v>
      </c>
    </row>
    <row r="49" spans="1:1" x14ac:dyDescent="0.25">
      <c r="A49" s="45" t="s">
        <v>240</v>
      </c>
    </row>
  </sheetData>
  <sheetProtection algorithmName="SHA-512" hashValue="Xe9vIyiU35fyyP4XXNgUYajzYkl06Iiezx44vNEdGUhqiB7B80Ax0ss+vnLoTEpss6C7cSvr+L1HD0c4TC9X8w==" saltValue="gRqrThOq8MgTCXub3rZdZw==" spinCount="100000" sheet="1" objects="1" scenarios="1" selectLockedCells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How to Use</vt:lpstr>
      <vt:lpstr>PL_3Y_SME</vt:lpstr>
      <vt:lpstr>BS_3Y_SME</vt:lpstr>
      <vt:lpstr>FREECASHFLOW_FY3</vt:lpstr>
      <vt:lpstr>WORKING_CAPITAL</vt:lpstr>
      <vt:lpstr>Ratio-KPI</vt:lpstr>
      <vt:lpstr>Dashboard</vt:lpstr>
      <vt:lpstr>AI_Summary</vt:lpstr>
      <vt:lpstr>BS_3Y_SME!Print_Area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madhu roy</cp:lastModifiedBy>
  <cp:lastPrinted>2026-02-26T11:31:48Z</cp:lastPrinted>
  <dcterms:created xsi:type="dcterms:W3CDTF">2026-02-26T08:13:25Z</dcterms:created>
  <dcterms:modified xsi:type="dcterms:W3CDTF">2026-02-27T15:46:58Z</dcterms:modified>
</cp:coreProperties>
</file>